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3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6.xml" ContentType="application/vnd.openxmlformats-officedocument.spreadsheetml.revisionLog+xml"/>
  <Override PartName="/xl/revisions/revisionLog117.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2.xml" ContentType="application/vnd.openxmlformats-officedocument.spreadsheetml.revisionLog+xml"/>
  <Override PartName="/xl/revisions/revisionLog133.xml" ContentType="application/vnd.openxmlformats-officedocument.spreadsheetml.revisionLog+xml"/>
  <Override PartName="/xl/revisions/revisionLog16.xml" ContentType="application/vnd.openxmlformats-officedocument.spreadsheetml.revisionLog+xml"/>
  <Override PartName="/xl/revisions/revisionLog107.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102.xml" ContentType="application/vnd.openxmlformats-officedocument.spreadsheetml.revisionLog+xml"/>
  <Override PartName="/xl/revisions/revisionLog123.xml" ContentType="application/vnd.openxmlformats-officedocument.spreadsheetml.revisionLog+xml"/>
  <Override PartName="/xl/revisions/revisionLog128.xml" ContentType="application/vnd.openxmlformats-officedocument.spreadsheetml.revisionLog+xml"/>
  <Override PartName="/xl/revisions/revisionLog5.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113.xml" ContentType="application/vnd.openxmlformats-officedocument.spreadsheetml.revisionLog+xml"/>
  <Override PartName="/xl/revisions/revisionLog118.xml" ContentType="application/vnd.openxmlformats-officedocument.spreadsheetml.revisionLog+xml"/>
  <Override PartName="/xl/revisions/revisionLog126.xml" ContentType="application/vnd.openxmlformats-officedocument.spreadsheetml.revisionLog+xml"/>
  <Override PartName="/xl/revisions/revisionLog134.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12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103.xml" ContentType="application/vnd.openxmlformats-officedocument.spreadsheetml.revisionLog+xml"/>
  <Override PartName="/xl/revisions/revisionLog108.xml" ContentType="application/vnd.openxmlformats-officedocument.spreadsheetml.revisionLog+xml"/>
  <Override PartName="/xl/revisions/revisionLog116.xml" ContentType="application/vnd.openxmlformats-officedocument.spreadsheetml.revisionLog+xml"/>
  <Override PartName="/xl/revisions/revisionLog124.xml" ContentType="application/vnd.openxmlformats-officedocument.spreadsheetml.revisionLog+xml"/>
  <Override PartName="/xl/revisions/revisionLog129.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11.xml" ContentType="application/vnd.openxmlformats-officedocument.spreadsheetml.revisionLog+xml"/>
  <Override PartName="/xl/revisions/revisionLog13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127.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01.xml" ContentType="application/vnd.openxmlformats-officedocument.spreadsheetml.revisionLog+xml"/>
  <Override PartName="/xl/revisions/revisionLog122.xml" ContentType="application/vnd.openxmlformats-officedocument.spreadsheetml.revisionLog+xml"/>
  <Override PartName="/xl/revisions/revisionLog130.xml" ContentType="application/vnd.openxmlformats-officedocument.spreadsheetml.revisionLog+xml"/>
  <Override PartName="/xl/revisions/revisionLog13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10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04.xml" ContentType="application/vnd.openxmlformats-officedocument.spreadsheetml.revisionLog+xml"/>
  <Override PartName="/xl/revisions/revisionLog120.xml" ContentType="application/vnd.openxmlformats-officedocument.spreadsheetml.revisionLog+xml"/>
  <Override PartName="/xl/revisions/revisionLog125.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110.xml" ContentType="application/vnd.openxmlformats-officedocument.spreadsheetml.revisionLog+xml"/>
  <Override PartName="/xl/revisions/revisionLog115.xml" ContentType="application/vnd.openxmlformats-officedocument.spreadsheetml.revisionLog+xml"/>
  <Override PartName="/xl/revisions/revisionLog131.xml" ContentType="application/vnd.openxmlformats-officedocument.spreadsheetml.revisionLog+xml"/>
  <Override PartName="/xl/revisions/revisionLog136.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
    </mc:Choice>
  </mc:AlternateContent>
  <bookViews>
    <workbookView xWindow="0" yWindow="0" windowWidth="28800" windowHeight="108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 УМИ" sheetId="17" state="hidden" r:id="rId17"/>
    <sheet name="18. Экстремизм" sheetId="18" r:id="rId18"/>
    <sheet name="19.РМС" sheetId="19" state="hidden" r:id="rId19"/>
    <sheet name="20. МСП" sheetId="20" state="hidden"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Игошкина Марина Юрьевна - Личное представление" guid="{5DF2C78B-5EE4-439D-8D72-8D3A913B65F9}" mergeInterval="0" personalView="1" maximized="1" xWindow="-8" yWindow="-8" windowWidth="1936" windowHeight="1056" activeSheetId="19"/>
    <customWorkbookView name="Подворчан Оксана - Личное представление" guid="{60A1F930-4BEC-460A-8E14-01E47F6DD055}" mergeInterval="0" personalView="1" maximized="1" xWindow="-4" yWindow="-4" windowWidth="1928" windowHeight="1038" activeSheetId="16"/>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Хазиева Татьяна Михайловна - Личное представление" guid="{EA46B61D-849C-4795-A4FF-F8F1740022EB}" mergeInterval="0" personalView="1" xWindow="51" yWindow="38" windowWidth="2398" windowHeight="1284" activeSheetId="10"/>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Тумачкова Екатерина Владимировна - Личное представление" guid="{F528EF6A-C113-49B5-B25F-D660F898CBFB}" mergeInterval="0" personalView="1" maximized="1" xWindow="-8" yWindow="-8" windowWidth="1936" windowHeight="1048" activeSheetId="12"/>
    <customWorkbookView name="Цыганкова Ирина Анатольевна - Личное представление" guid="{AFADB96A-0516-43C1-9F1B-0604F3CAC04A}" mergeInterval="0" personalView="1" xWindow="33" windowWidth="1982" windowHeight="1392" activeSheetId="8"/>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Наталья В. Балабанская - Личное представление" guid="{C68436F4-AFB3-4D1D-A7C4-56D0C677D68E}" mergeInterval="0" personalView="1" maximized="1" xWindow="-8" yWindow="-8" windowWidth="1936" windowHeight="1056" activeSheetId="15"/>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Степаненко Наталья Алексеевна - Личное представление" guid="{2A5A11D4-90C6-4A3E-8165-7D7BD634B22F}" mergeInterval="0" personalView="1" maximized="1" xWindow="-8" yWindow="-8" windowWidth="1936" windowHeight="1048" activeSheetId="11"/>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2" i="4" l="1"/>
  <c r="AC61" i="4" s="1"/>
  <c r="AH61" i="4"/>
  <c r="E27" i="18"/>
  <c r="E30" i="18"/>
  <c r="E25" i="18"/>
  <c r="F9" i="18"/>
  <c r="E9" i="18"/>
  <c r="D9" i="18"/>
  <c r="E13" i="7" l="1"/>
  <c r="E15" i="7"/>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8"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11" i="10"/>
  <c r="E38" i="10"/>
  <c r="E35" i="10"/>
  <c r="E33" i="10"/>
  <c r="E31" i="10"/>
  <c r="E29" i="10"/>
  <c r="E26" i="10"/>
  <c r="E24" i="10"/>
  <c r="E22" i="10"/>
  <c r="E20" i="10"/>
  <c r="E19" i="10"/>
  <c r="E18" i="10" s="1"/>
  <c r="E17" i="10"/>
  <c r="E15" i="10"/>
  <c r="E14" i="10"/>
  <c r="E27" i="11"/>
  <c r="E25" i="11"/>
  <c r="E22" i="11"/>
  <c r="E20" i="11"/>
  <c r="E18" i="11"/>
  <c r="E16" i="11"/>
  <c r="E14" i="11"/>
  <c r="E12" i="11"/>
  <c r="AI27" i="11" l="1"/>
  <c r="AI25" i="11"/>
  <c r="AI22" i="11"/>
  <c r="AI20" i="11"/>
  <c r="AI18" i="11"/>
  <c r="AI16" i="11"/>
  <c r="AI14" i="11"/>
  <c r="P12" i="11"/>
  <c r="F13" i="11"/>
  <c r="K12" i="11"/>
  <c r="K9" i="11" s="1"/>
  <c r="G13" i="11"/>
  <c r="G9" i="11" l="1"/>
  <c r="F9" i="11"/>
  <c r="D8" i="2"/>
  <c r="G15" i="2"/>
  <c r="E15" i="2"/>
  <c r="E14" i="2"/>
  <c r="E18" i="2"/>
  <c r="G19" i="2"/>
  <c r="E19" i="2"/>
  <c r="T15" i="11" l="1"/>
  <c r="E23" i="3" l="1"/>
  <c r="E21" i="3"/>
  <c r="E19" i="3"/>
  <c r="E18" i="3"/>
  <c r="E16" i="3"/>
  <c r="E15" i="3"/>
  <c r="E14" i="3"/>
  <c r="F9" i="3"/>
  <c r="S9" i="2" l="1"/>
  <c r="AC11" i="2"/>
  <c r="E15" i="12" l="1"/>
  <c r="E13" i="12"/>
  <c r="AG10" i="12"/>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E58" i="8"/>
  <c r="E56" i="8"/>
  <c r="E54" i="8"/>
  <c r="E52" i="8"/>
  <c r="E47" i="8"/>
  <c r="E46" i="8"/>
  <c r="E44" i="8"/>
  <c r="E43" i="8"/>
  <c r="E41" i="8"/>
  <c r="E39" i="8"/>
  <c r="E36" i="8"/>
  <c r="E37" i="8"/>
  <c r="E35" i="8"/>
  <c r="E32" i="8"/>
  <c r="E31" i="8"/>
  <c r="E29" i="8"/>
  <c r="E28" i="8"/>
  <c r="E26" i="8"/>
  <c r="E25" i="8"/>
  <c r="E23" i="8"/>
  <c r="E22" i="8"/>
  <c r="E15" i="8"/>
  <c r="E16" i="8"/>
  <c r="E14" i="8"/>
  <c r="E9" i="8"/>
  <c r="AB23" i="8"/>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AD11" i="8"/>
  <c r="AC11" i="8"/>
  <c r="V11" i="8"/>
  <c r="U11" i="8"/>
  <c r="T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E19" i="8" s="1"/>
  <c r="AA19" i="8"/>
  <c r="AB19" i="8"/>
  <c r="AC19" i="8"/>
  <c r="AD19" i="8"/>
  <c r="AE19" i="8"/>
  <c r="AF19" i="8"/>
  <c r="AG19" i="8"/>
  <c r="K20" i="8"/>
  <c r="L20" i="8"/>
  <c r="M20" i="8"/>
  <c r="N20" i="8"/>
  <c r="O20" i="8"/>
  <c r="P20" i="8"/>
  <c r="Q20" i="8"/>
  <c r="R20" i="8"/>
  <c r="S20" i="8"/>
  <c r="T20" i="8"/>
  <c r="U20" i="8"/>
  <c r="V20" i="8"/>
  <c r="W20" i="8"/>
  <c r="X20" i="8"/>
  <c r="Y20" i="8"/>
  <c r="Z20" i="8"/>
  <c r="AA20" i="8"/>
  <c r="AB20" i="8"/>
  <c r="AB11"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E20" i="8" l="1"/>
  <c r="G30" i="8"/>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E11" i="3" s="1"/>
  <c r="AG10" i="3"/>
  <c r="AF10" i="3"/>
  <c r="AE10" i="3"/>
  <c r="AD10" i="3"/>
  <c r="AC10" i="3"/>
  <c r="AB10" i="3"/>
  <c r="AA10" i="3"/>
  <c r="Z10" i="3"/>
  <c r="Y10" i="3"/>
  <c r="X10" i="3"/>
  <c r="W10" i="3"/>
  <c r="V10" i="3"/>
  <c r="U10" i="3"/>
  <c r="T10" i="3"/>
  <c r="S10" i="3"/>
  <c r="R10" i="3"/>
  <c r="Q10" i="3"/>
  <c r="P10" i="3"/>
  <c r="O10" i="3"/>
  <c r="N10" i="3"/>
  <c r="M10" i="3"/>
  <c r="L10" i="3"/>
  <c r="K10" i="3"/>
  <c r="J10" i="3"/>
  <c r="E10" i="3" s="1"/>
  <c r="AG9" i="3"/>
  <c r="AF9" i="3"/>
  <c r="AE9" i="3"/>
  <c r="AD9" i="3"/>
  <c r="AC9" i="3"/>
  <c r="AB9" i="3"/>
  <c r="AA9" i="3"/>
  <c r="Z9" i="3"/>
  <c r="Y9" i="3"/>
  <c r="X9" i="3"/>
  <c r="W9" i="3"/>
  <c r="V9" i="3"/>
  <c r="U9" i="3"/>
  <c r="T9" i="3"/>
  <c r="S9" i="3"/>
  <c r="R9" i="3"/>
  <c r="Q9" i="3"/>
  <c r="P9" i="3"/>
  <c r="O9" i="3"/>
  <c r="N9" i="3"/>
  <c r="M9" i="3"/>
  <c r="L9" i="3"/>
  <c r="K9" i="3"/>
  <c r="J9" i="3"/>
  <c r="E9" i="3" s="1"/>
  <c r="G14" i="3"/>
  <c r="E8" i="3" l="1"/>
  <c r="N8" i="3"/>
  <c r="G9" i="3"/>
  <c r="R17" i="3"/>
  <c r="E17" i="3"/>
  <c r="G19" i="3"/>
  <c r="I19" i="3" s="1"/>
  <c r="G18" i="3"/>
  <c r="F18" i="3" s="1"/>
  <c r="F10" i="3" s="1"/>
  <c r="D23" i="3"/>
  <c r="G23" i="3"/>
  <c r="H23" i="3" s="1"/>
  <c r="G21" i="3"/>
  <c r="I21" i="3" s="1"/>
  <c r="D21" i="3"/>
  <c r="G16" i="3"/>
  <c r="F16" i="3" s="1"/>
  <c r="D16" i="3"/>
  <c r="H16" i="3" s="1"/>
  <c r="G15" i="3"/>
  <c r="I15" i="3" s="1"/>
  <c r="F15" i="3"/>
  <c r="D15" i="3"/>
  <c r="F14" i="3"/>
  <c r="I14" i="3"/>
  <c r="D14" i="3"/>
  <c r="H14" i="3" s="1"/>
  <c r="D19" i="3"/>
  <c r="D18" i="3"/>
  <c r="F21" i="3" l="1"/>
  <c r="G10" i="3"/>
  <c r="I16" i="3"/>
  <c r="D17" i="3"/>
  <c r="F19" i="3"/>
  <c r="G11" i="3"/>
  <c r="H18" i="3"/>
  <c r="I18" i="3"/>
  <c r="H19" i="3"/>
  <c r="F23" i="3"/>
  <c r="I23" i="3"/>
  <c r="H21" i="3"/>
  <c r="H15" i="3"/>
  <c r="F11" i="3" l="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G13" i="7"/>
  <c r="F13" i="7"/>
  <c r="D15" i="7"/>
  <c r="D13" i="7"/>
  <c r="H10" i="7"/>
  <c r="H9" i="7"/>
  <c r="G9" i="7"/>
  <c r="F9" i="7"/>
  <c r="D9" i="7"/>
  <c r="D10" i="7"/>
  <c r="E10" i="7"/>
  <c r="F10" i="7"/>
  <c r="G10" i="7"/>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F8" i="3" l="1"/>
  <c r="H8" i="3"/>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3" i="12"/>
  <c r="G12" i="12" s="1"/>
  <c r="E12" i="12"/>
  <c r="D13" i="12"/>
  <c r="D15" i="12"/>
  <c r="F13" i="12" l="1"/>
  <c r="G17" i="20"/>
  <c r="E16" i="20"/>
  <c r="E17" i="20"/>
  <c r="G20" i="20"/>
  <c r="F20" i="20" s="1"/>
  <c r="E20" i="20"/>
  <c r="AA13" i="20"/>
  <c r="G22" i="20"/>
  <c r="F22" i="20" s="1"/>
  <c r="E22" i="20"/>
  <c r="E19" i="13" l="1"/>
  <c r="E17" i="13"/>
  <c r="E12" i="13"/>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89" i="4"/>
  <c r="E92" i="4" l="1"/>
  <c r="E76" i="4"/>
  <c r="E75" i="4"/>
  <c r="E62" i="4"/>
  <c r="E60" i="4"/>
  <c r="E59" i="4"/>
  <c r="E81" i="4"/>
  <c r="E49" i="4"/>
  <c r="E48" i="4"/>
  <c r="E57" i="4"/>
  <c r="E55" i="4"/>
  <c r="E53" i="4"/>
  <c r="E51" i="4"/>
  <c r="E44" i="4"/>
  <c r="E42" i="4"/>
  <c r="E41" i="4"/>
  <c r="E28" i="4"/>
  <c r="E29" i="4"/>
  <c r="E21" i="4"/>
  <c r="E20" i="4"/>
  <c r="E19" i="4"/>
  <c r="E25" i="4"/>
  <c r="E24" i="4"/>
  <c r="G24" i="4"/>
  <c r="G20" i="4"/>
  <c r="D21" i="4"/>
  <c r="Y55" i="16" l="1"/>
  <c r="W55" i="16"/>
  <c r="Y56" i="16"/>
  <c r="E51" i="16" l="1"/>
  <c r="D52" i="16"/>
  <c r="F13" i="2" l="1"/>
  <c r="E10" i="2"/>
  <c r="E9" i="2"/>
  <c r="H10" i="9" l="1"/>
  <c r="I10" i="9"/>
  <c r="D14" i="10" l="1"/>
  <c r="D15" i="10"/>
  <c r="D17" i="10"/>
  <c r="D20" i="10"/>
  <c r="D22" i="10"/>
  <c r="D24" i="10"/>
  <c r="D26" i="10"/>
  <c r="D29" i="10"/>
  <c r="D31" i="10"/>
  <c r="G38"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G110" i="1" l="1"/>
  <c r="G111" i="1"/>
  <c r="G109" i="1"/>
  <c r="E110" i="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F109" i="1"/>
  <c r="G108" i="1"/>
  <c r="E108" i="1"/>
  <c r="D108" i="1"/>
  <c r="H108" i="1" l="1"/>
  <c r="I108" i="1"/>
  <c r="F108" i="1"/>
  <c r="G14" i="15"/>
  <c r="D14" i="15"/>
  <c r="U47" i="5" l="1"/>
  <c r="T47" i="5"/>
  <c r="D8" i="9" l="1"/>
  <c r="U32" i="5" l="1"/>
  <c r="S32" i="5"/>
  <c r="E105" i="1" l="1"/>
  <c r="X98" i="1" l="1"/>
  <c r="T98" i="1"/>
  <c r="T96" i="1"/>
  <c r="E91" i="1"/>
  <c r="AB89" i="1"/>
  <c r="T89" i="1"/>
  <c r="AB85" i="1"/>
  <c r="T80" i="1"/>
  <c r="V78" i="1"/>
  <c r="G78" i="1"/>
  <c r="AB70" i="1" l="1"/>
  <c r="T70" i="1"/>
  <c r="AF68" i="1"/>
  <c r="T68" i="1"/>
  <c r="E68" i="1" s="1"/>
  <c r="X66" i="1"/>
  <c r="G64" i="1"/>
  <c r="AF54" i="1"/>
  <c r="E54" i="1"/>
  <c r="T51" i="1"/>
  <c r="E51" i="1" s="1"/>
  <c r="G49" i="1"/>
  <c r="F49" i="1" s="1"/>
  <c r="V47" i="1"/>
  <c r="R47" i="1"/>
  <c r="E47" i="1" s="1"/>
  <c r="T43" i="1"/>
  <c r="T45" i="1"/>
  <c r="T31" i="1"/>
  <c r="E31" i="1" s="1"/>
  <c r="T29" i="1"/>
  <c r="T26" i="1"/>
  <c r="T24" i="1"/>
  <c r="E24" i="1" s="1"/>
  <c r="E45" i="1" l="1"/>
  <c r="D45" i="1"/>
  <c r="E26" i="1"/>
  <c r="E23" i="1" s="1"/>
  <c r="D26" i="1"/>
  <c r="F14" i="15"/>
  <c r="G15" i="7" l="1"/>
  <c r="AD105" i="1" l="1"/>
  <c r="Z85" i="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E12" i="7" l="1"/>
  <c r="Q28" i="6" l="1"/>
  <c r="D19" i="6" l="1"/>
  <c r="E41" i="6" l="1"/>
  <c r="E15" i="6"/>
  <c r="E24" i="11" l="1"/>
  <c r="AI24" i="11" s="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E100" i="4"/>
  <c r="E98" i="4"/>
  <c r="O45" i="4"/>
  <c r="E46" i="4"/>
  <c r="E8" i="19" l="1"/>
  <c r="I8" i="19" s="1"/>
  <c r="H11" i="19"/>
  <c r="D8" i="19"/>
  <c r="H8" i="19" s="1"/>
  <c r="E11" i="2" l="1"/>
  <c r="N85" i="1" l="1"/>
  <c r="O85" i="1"/>
  <c r="AB87" i="1"/>
  <c r="N69" i="1"/>
  <c r="T69" i="1"/>
  <c r="AF70" i="1"/>
  <c r="N70" i="1"/>
  <c r="E70" i="1" s="1"/>
  <c r="V64" i="1"/>
  <c r="N64" i="1"/>
  <c r="E64" i="1" s="1"/>
  <c r="E69" i="1" l="1"/>
  <c r="E63" i="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C38" i="4"/>
  <c r="AB38" i="4"/>
  <c r="AA38" i="4"/>
  <c r="Z38" i="4"/>
  <c r="Y38" i="4"/>
  <c r="X38" i="4"/>
  <c r="W38" i="4"/>
  <c r="V38" i="4"/>
  <c r="U38" i="4"/>
  <c r="T38" i="4"/>
  <c r="S38" i="4"/>
  <c r="R38" i="4"/>
  <c r="Q38" i="4"/>
  <c r="P38" i="4"/>
  <c r="O38" i="4"/>
  <c r="N38" i="4"/>
  <c r="M38" i="4"/>
  <c r="L38" i="4"/>
  <c r="K38" i="4"/>
  <c r="J38" i="4"/>
  <c r="E66" i="4"/>
  <c r="E65" i="4" s="1"/>
  <c r="G66" i="4"/>
  <c r="D66" i="4"/>
  <c r="D65" i="4" s="1"/>
  <c r="AG65" i="4"/>
  <c r="AF65" i="4"/>
  <c r="AE65" i="4"/>
  <c r="AD65" i="4"/>
  <c r="AC65" i="4"/>
  <c r="AB65" i="4"/>
  <c r="AA65" i="4"/>
  <c r="Z65" i="4"/>
  <c r="Y65" i="4"/>
  <c r="X65" i="4"/>
  <c r="W65" i="4"/>
  <c r="V65" i="4"/>
  <c r="U65" i="4"/>
  <c r="T65" i="4"/>
  <c r="Q65" i="4"/>
  <c r="P65" i="4"/>
  <c r="O65" i="4"/>
  <c r="N65" i="4"/>
  <c r="M65" i="4"/>
  <c r="L65" i="4"/>
  <c r="K65" i="4"/>
  <c r="J65" i="4"/>
  <c r="G62" i="4"/>
  <c r="H66" i="4" l="1"/>
  <c r="I66" i="4"/>
  <c r="G65" i="4"/>
  <c r="F65" i="4" l="1"/>
  <c r="I65" i="4"/>
  <c r="H65" i="4"/>
  <c r="E9" i="12" l="1"/>
  <c r="F15" i="7" l="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E98" i="1" s="1"/>
  <c r="N89" i="1"/>
  <c r="E89" i="1" s="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7" i="1"/>
  <c r="E106" i="1" s="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B102" i="1" s="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74" i="1" l="1"/>
  <c r="E82" i="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6" i="1"/>
  <c r="E95" i="1" s="1"/>
  <c r="T81" i="1"/>
  <c r="E81" i="1"/>
  <c r="N38" i="1"/>
  <c r="T38" i="1"/>
  <c r="T37" i="1"/>
  <c r="T12" i="1" s="1"/>
  <c r="R95" i="1"/>
  <c r="D34" i="1"/>
  <c r="R60" i="1"/>
  <c r="R35" i="1"/>
  <c r="R10" i="1" s="1"/>
  <c r="R38" i="1"/>
  <c r="D76" i="1"/>
  <c r="G76" i="1"/>
  <c r="I76" i="1" s="1"/>
  <c r="D42" i="1"/>
  <c r="E103" i="1"/>
  <c r="E102" i="1" s="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E37" i="1"/>
  <c r="AB11" i="1"/>
  <c r="E36" i="1"/>
  <c r="E9" i="1"/>
  <c r="Z12" i="1"/>
  <c r="X11" i="1"/>
  <c r="X8" i="1" s="1"/>
  <c r="J11" i="1"/>
  <c r="J10" i="1"/>
  <c r="E10" i="1" s="1"/>
  <c r="J12" i="1"/>
  <c r="I40" i="1"/>
  <c r="E38" i="1"/>
  <c r="K10" i="1"/>
  <c r="I22" i="1"/>
  <c r="I34" i="1"/>
  <c r="I35"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F34"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E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8" i="10"/>
  <c r="I38"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8" i="10"/>
  <c r="F37" i="10" s="1"/>
  <c r="G23" i="10"/>
  <c r="G28" i="10"/>
  <c r="G32" i="10"/>
  <c r="G37" i="10"/>
  <c r="H11" i="10" l="1"/>
  <c r="G8" i="10"/>
  <c r="H16" i="10"/>
  <c r="I11" i="10"/>
  <c r="I9" i="10"/>
  <c r="H9" i="10"/>
  <c r="I21" i="10"/>
  <c r="H21" i="10"/>
  <c r="I13" i="10"/>
  <c r="H13" i="10"/>
  <c r="H30" i="10"/>
  <c r="I30" i="10"/>
  <c r="I25" i="10"/>
  <c r="H25" i="10"/>
  <c r="I32" i="10"/>
  <c r="H32" i="10"/>
  <c r="H28" i="10"/>
  <c r="I28" i="10"/>
  <c r="H23" i="10"/>
  <c r="I23" i="10"/>
  <c r="I34" i="10"/>
  <c r="H34" i="10"/>
  <c r="H37" i="10"/>
  <c r="I37"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F23" i="18" s="1"/>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F27" i="11" s="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AI26" i="11" s="1"/>
  <c r="G25" i="1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E21" i="11"/>
  <c r="AI21" i="11" s="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AI19" i="11" s="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AI17" i="11" s="1"/>
  <c r="G16" i="11"/>
  <c r="F16" i="11" s="1"/>
  <c r="F15" i="11" s="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AI15" i="11" s="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I13" i="11" s="1"/>
  <c r="AG12" i="11"/>
  <c r="AG9" i="11" s="1"/>
  <c r="AG8" i="11" s="1"/>
  <c r="AF12" i="11"/>
  <c r="AF9" i="11" s="1"/>
  <c r="AF8" i="11" s="1"/>
  <c r="AE12" i="11"/>
  <c r="AE9" i="11" s="1"/>
  <c r="AE8" i="11" s="1"/>
  <c r="AD12" i="11"/>
  <c r="AD9" i="11" s="1"/>
  <c r="AD8"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P8" i="11" l="1"/>
  <c r="E9"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M8" i="11" s="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9"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G19" i="11"/>
  <c r="G24" i="11"/>
  <c r="N9" i="11"/>
  <c r="N8" i="11" s="1"/>
  <c r="P11" i="11"/>
  <c r="X11" i="11"/>
  <c r="AF11" i="11"/>
  <c r="F14" i="11"/>
  <c r="F18" i="11"/>
  <c r="F17" i="11" s="1"/>
  <c r="F22" i="11"/>
  <c r="F21" i="11" s="1"/>
  <c r="F26" i="11"/>
  <c r="G17" i="11"/>
  <c r="H17" i="11" s="1"/>
  <c r="G21" i="11"/>
  <c r="G26" i="1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AG95"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H12" i="11" l="1"/>
  <c r="I12" i="11"/>
  <c r="AI12" i="11"/>
  <c r="AI9" i="11"/>
  <c r="E8" i="11"/>
  <c r="AB10" i="4"/>
  <c r="P10" i="4"/>
  <c r="AF10" i="4"/>
  <c r="Q8" i="7"/>
  <c r="U8" i="7"/>
  <c r="AC8" i="7"/>
  <c r="AG8" i="7"/>
  <c r="E8" i="18"/>
  <c r="G8" i="11"/>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E96" i="4"/>
  <c r="E95" i="4" s="1"/>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8" i="11"/>
  <c r="I13" i="11"/>
  <c r="H13" i="11"/>
  <c r="I13" i="15"/>
  <c r="H13" i="15"/>
  <c r="H11" i="15"/>
  <c r="I8" i="7"/>
  <c r="H12" i="7"/>
  <c r="H14" i="7"/>
  <c r="I9" i="7"/>
  <c r="F14"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AE8" i="4" l="1"/>
  <c r="H11" i="11"/>
  <c r="I11" i="11"/>
  <c r="AI8" i="11"/>
  <c r="AB8" i="20"/>
  <c r="U8" i="20"/>
  <c r="AG8" i="20"/>
  <c r="J9" i="20"/>
  <c r="E9" i="20" s="1"/>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G15" i="20"/>
  <c r="N12" i="20"/>
  <c r="Z12" i="20"/>
  <c r="Q12" i="20"/>
  <c r="O12" i="20"/>
  <c r="AA12" i="20"/>
  <c r="U12" i="20"/>
  <c r="I17" i="20"/>
  <c r="G18" i="20"/>
  <c r="F21" i="20"/>
  <c r="AG12" i="20"/>
  <c r="V12" i="20"/>
  <c r="I19" i="20"/>
  <c r="W12" i="20"/>
  <c r="G13" i="20"/>
  <c r="L12" i="20"/>
  <c r="X12" i="20"/>
  <c r="D15" i="20"/>
  <c r="F16"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J8" i="20" l="1"/>
  <c r="E23" i="14"/>
  <c r="E25" i="14"/>
  <c r="X10" i="14"/>
  <c r="E24" i="14"/>
  <c r="V10" i="14"/>
  <c r="T10" i="14"/>
  <c r="R10" i="14"/>
  <c r="J9" i="14"/>
  <c r="J11" i="14"/>
  <c r="E11" i="14" s="1"/>
  <c r="J10" i="14"/>
  <c r="N10" i="14"/>
  <c r="P22" i="14"/>
  <c r="P9" i="14"/>
  <c r="L22" i="14"/>
  <c r="L9" i="14"/>
  <c r="G10" i="20"/>
  <c r="K22" i="14"/>
  <c r="F37" i="4"/>
  <c r="I8" i="18"/>
  <c r="H8" i="18"/>
  <c r="D11" i="4"/>
  <c r="D21" i="20"/>
  <c r="H22" i="20"/>
  <c r="I8" i="15"/>
  <c r="H8" i="15"/>
  <c r="F82" i="4"/>
  <c r="E34" i="4"/>
  <c r="E8" i="20"/>
  <c r="R22" i="14"/>
  <c r="Q22" i="14"/>
  <c r="AA22" i="14"/>
  <c r="Y22" i="14"/>
  <c r="H67" i="4"/>
  <c r="I15" i="20"/>
  <c r="W22" i="14"/>
  <c r="X22" i="14"/>
  <c r="AE22" i="14"/>
  <c r="S22" i="14"/>
  <c r="O22" i="14"/>
  <c r="G25" i="14"/>
  <c r="F25" i="14" s="1"/>
  <c r="AD22" i="14"/>
  <c r="N22" i="14"/>
  <c r="AC22" i="14"/>
  <c r="M22" i="14"/>
  <c r="AB22"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D9" i="20"/>
  <c r="H13" i="20"/>
  <c r="F13" i="20"/>
  <c r="D10" i="20"/>
  <c r="G21" i="20"/>
  <c r="I22" i="20"/>
  <c r="D12" i="20"/>
  <c r="G9"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A11" i="9"/>
  <c r="AC11" i="9"/>
  <c r="AE11" i="9"/>
  <c r="AG11" i="9"/>
  <c r="K10" i="9"/>
  <c r="L10" i="9"/>
  <c r="M10" i="9"/>
  <c r="N10" i="9"/>
  <c r="O10" i="9"/>
  <c r="P10" i="9"/>
  <c r="Q10" i="9"/>
  <c r="R10" i="9"/>
  <c r="S10" i="9"/>
  <c r="T10" i="9"/>
  <c r="U10" i="9"/>
  <c r="W10" i="9"/>
  <c r="AA10" i="9"/>
  <c r="AC10" i="9"/>
  <c r="AE10" i="9"/>
  <c r="AG10" i="9"/>
  <c r="K9" i="9"/>
  <c r="L9" i="9"/>
  <c r="M9" i="9"/>
  <c r="N9" i="9"/>
  <c r="O9" i="9"/>
  <c r="P9" i="9"/>
  <c r="Q9" i="9"/>
  <c r="R9" i="9"/>
  <c r="S9" i="9"/>
  <c r="T9" i="9"/>
  <c r="U9" i="9"/>
  <c r="V9" i="9"/>
  <c r="W9" i="9"/>
  <c r="X9" i="9"/>
  <c r="Y9" i="9"/>
  <c r="Z9" i="9"/>
  <c r="AA9" i="9"/>
  <c r="AB9" i="9"/>
  <c r="AC9" i="9"/>
  <c r="AD9" i="9"/>
  <c r="AE9" i="9"/>
  <c r="AF9" i="9"/>
  <c r="AG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C55" i="8" s="1"/>
  <c r="AB56" i="8"/>
  <c r="AB55" i="8" s="1"/>
  <c r="AA56" i="8"/>
  <c r="Z56" i="8"/>
  <c r="Z55" i="8" s="1"/>
  <c r="Y56" i="8"/>
  <c r="X56" i="8"/>
  <c r="X55" i="8" s="1"/>
  <c r="W56" i="8"/>
  <c r="W55" i="8" s="1"/>
  <c r="V56" i="8"/>
  <c r="U56" i="8"/>
  <c r="U55" i="8" s="1"/>
  <c r="T56" i="8"/>
  <c r="T55" i="8" s="1"/>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E10" i="8" s="1"/>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D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Z49" i="8" l="1"/>
  <c r="E50" i="8"/>
  <c r="E49" i="8" s="1"/>
  <c r="Z11" i="8"/>
  <c r="E11" i="8" s="1"/>
  <c r="AA55" i="8"/>
  <c r="AA11" i="8"/>
  <c r="AA8" i="8" s="1"/>
  <c r="G21" i="8"/>
  <c r="Y55" i="8"/>
  <c r="Y11" i="8"/>
  <c r="AF49" i="8"/>
  <c r="AF11" i="8"/>
  <c r="X49" i="8"/>
  <c r="X11" i="8"/>
  <c r="V55" i="8"/>
  <c r="I12" i="20"/>
  <c r="E9" i="14"/>
  <c r="E10" i="14"/>
  <c r="Z18" i="8"/>
  <c r="N18" i="8"/>
  <c r="G38" i="8"/>
  <c r="U8" i="8"/>
  <c r="E55"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X8" i="8" s="1"/>
  <c r="AB10" i="8"/>
  <c r="AG10" i="8"/>
  <c r="AA18" i="8"/>
  <c r="O9" i="8"/>
  <c r="AE10" i="8"/>
  <c r="AE8" i="8" s="1"/>
  <c r="S10" i="8"/>
  <c r="AC10" i="8"/>
  <c r="AC8" i="8" s="1"/>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Z8" i="8" l="1"/>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B9" i="13" s="1"/>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Z9" i="13" l="1"/>
  <c r="E15" i="13"/>
  <c r="E9" i="13" s="1"/>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<sst xmlns="http://schemas.openxmlformats.org/spreadsheetml/2006/main" count="2131" uniqueCount="454">
  <si>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</si>
  <si>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</si>
  <si>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</si>
  <si>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</si>
  <si>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</si>
  <si>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</si>
  <si>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</si>
  <si>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</si>
  <si>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</si>
  <si>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</si>
  <si>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</si>
  <si>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</si>
  <si>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</si>
  <si>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</si>
  <si>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</si>
  <si>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</si>
  <si>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</si>
  <si>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</si>
  <si>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</si>
  <si>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</si>
  <si>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</si>
  <si>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</si>
  <si>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</si>
  <si>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</si>
  <si>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</si>
  <si>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</si>
  <si>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</si>
  <si>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</si>
  <si>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</si>
  <si>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</si>
  <si>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</si>
  <si>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</si>
  <si>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</si>
  <si>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</si>
  <si>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</si>
  <si>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</si>
  <si>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</si>
  <si>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</si>
  <si>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</si>
  <si>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</si>
  <si>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</si>
  <si>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</si>
  <si>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</si>
  <si>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</si>
  <si>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</si>
  <si>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</si>
  <si>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</si>
  <si>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</si>
  <si>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</si>
  <si>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</si>
  <si>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</si>
  <si>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</si>
  <si>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</si>
  <si>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</si>
  <si>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</si>
  <si>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</si>
  <si>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</si>
  <si>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</si>
  <si>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</si>
  <si>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</si>
  <si>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</si>
  <si>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</si>
  <si>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</si>
  <si>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</si>
  <si>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</si>
  <si>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</si>
  <si>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</si>
  <si>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</si>
  <si>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</si>
  <si>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</si>
  <si>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</si>
  <si>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</si>
  <si>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</si>
  <si>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</si>
  <si>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</si>
  <si>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</si>
  <si>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</si>
  <si>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</si>
  <si>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</si>
  <si>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</si>
  <si>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</si>
  <si>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</si>
  <si>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</si>
  <si>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</si>
  <si>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</si>
  <si>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</si>
  <si>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</si>
  <si>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</si>
  <si>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</si>
  <si>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</si>
  <si>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</si>
  <si>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</si>
  <si>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</si>
  <si>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</si>
  <si>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</si>
  <si>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</si>
  <si>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</si>
  <si>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</si>
  <si>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</si>
  <si>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</si>
  <si>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</si>
  <si>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</si>
  <si>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</si>
  <si>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</si>
  <si>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</si>
  <si>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</si>
  <si>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</si>
  <si>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</si>
  <si>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</si>
  <si>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</si>
  <si>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</si>
  <si>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</si>
  <si>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</si>
  <si>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</si>
  <si>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</si>
  <si>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</si>
  <si>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</si>
  <si>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</si>
  <si>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</si>
  <si>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</si>
  <si>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</si>
  <si>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</si>
  <si>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</si>
  <si>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</si>
  <si>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</si>
  <si>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</si>
  <si>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</si>
  <si>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</si>
  <si>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</si>
  <si>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</si>
  <si>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</si>
  <si>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</si>
  <si>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</si>
  <si>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</si>
  <si>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</si>
  <si>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</si>
  <si>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</si>
  <si>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</si>
  <si>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</si>
  <si>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</si>
  <si>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</si>
  <si>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</si>
  <si>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</si>
  <si>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</si>
  <si>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</si>
  <si>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</si>
  <si>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</si>
  <si>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</si>
  <si>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</si>
  <si>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</si>
  <si>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</si>
  <si>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</si>
  <si>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</si>
  <si>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</si>
  <si>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</si>
  <si>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</si>
  <si>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</si>
  <si>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</si>
  <si>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</si>
  <si>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</si>
  <si>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</si>
  <si>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</si>
  <si>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</si>
  <si>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</si>
  <si>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</si>
  <si>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</si>
  <si>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</si>
  <si>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</si>
  <si>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</si>
  <si>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</si>
  <si>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</si>
  <si>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</si>
  <si>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</si>
  <si>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</si>
  <si>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</si>
  <si>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</si>
  <si>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</si>
  <si>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</si>
  <si>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</si>
  <si>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</si>
  <si>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</si>
  <si>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</si>
  <si>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</si>
  <si>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</si>
  <si>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</si>
  <si>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</si>
  <si>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</si>
  <si>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</si>
  <si>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</si>
  <si>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</si>
  <si>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</si>
  <si>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</si>
  <si>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</si>
  <si>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</si>
  <si>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</si>
  <si>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</si>
  <si>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</si>
  <si>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</si>
  <si>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</si>
  <si>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</si>
  <si>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</si>
  <si>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</si>
  <si>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</si>
  <si>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</si>
  <si>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</si>
  <si>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</si>
  <si>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</si>
  <si>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</si>
  <si>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</si>
  <si>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</si>
  <si>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</si>
  <si>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</si>
  <si>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</si>
  <si>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</si>
  <si>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</si>
  <si>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</si>
  <si>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</si>
  <si>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</si>
  <si>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</si>
  <si>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</si>
  <si>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</si>
  <si>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</si>
  <si>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</si>
  <si>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</si>
  <si>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</si>
  <si>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</si>
  <si>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</si>
  <si>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</si>
  <si>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</si>
  <si>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</si>
  <si>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</si>
  <si>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</si>
  <si>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</si>
  <si>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</si>
  <si>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</si>
  <si>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</si>
  <si>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</si>
  <si>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</si>
  <si>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</si>
  <si>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</si>
  <si>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</si>
  <si>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</si>
  <si>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</si>
  <si>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</si>
  <si>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</si>
  <si>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</si>
  <si>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</si>
  <si>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</si>
  <si>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</si>
  <si>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</si>
  <si>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</si>
  <si>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</si>
  <si>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</si>
  <si>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</si>
  <si>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</si>
  <si>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</si>
  <si>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</si>
  <si>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</si>
  <si>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</si>
  <si>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</si>
  <si>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</si>
  <si>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</si>
  <si>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</si>
  <si>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</si>
  <si>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</si>
  <si>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</si>
  <si>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</si>
  <si>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</si>
  <si>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</si>
  <si>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</si>
  <si>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</si>
  <si>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</si>
  <si>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</si>
  <si>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</si>
  <si>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</si>
  <si>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</si>
  <si>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</si>
  <si>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</si>
  <si>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</si>
  <si>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</si>
  <si>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</si>
  <si>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</si>
  <si>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</si>
  <si>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</si>
  <si>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</si>
  <si>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</si>
  <si>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</si>
  <si>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</si>
  <si>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</si>
  <si>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</si>
  <si>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</si>
  <si>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</si>
  <si>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</si>
  <si>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</si>
  <si>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</si>
  <si>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</si>
  <si>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</si>
  <si>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</si>
  <si>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</si>
  <si>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</si>
  <si>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</si>
  <si>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</si>
  <si>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</si>
  <si>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</si>
  <si>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</si>
  <si>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</si>
  <si>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</si>
  <si>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</si>
  <si>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</si>
  <si>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</si>
  <si>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</si>
  <si>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</si>
  <si>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</si>
  <si>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</si>
  <si>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</si>
  <si>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</si>
  <si>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</si>
  <si>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</si>
  <si>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</si>
  <si>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</si>
  <si>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</si>
  <si>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</si>
  <si>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</si>
  <si>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</si>
  <si>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</si>
  <si>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</si>
  <si>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</si>
  <si>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</si>
  <si>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</si>
  <si>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ОАиГ</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</si>
  <si>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</si>
  <si>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</si>
  <si>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</si>
  <si>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</si>
  <si>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</si>
  <si>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</si>
  <si>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</si>
  <si>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</si>
  <si>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</si>
  <si>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</si>
  <si>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</si>
  <si>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</si>
  <si>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</si>
  <si>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</si>
  <si>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</si>
  <si>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</si>
  <si>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</si>
  <si>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</si>
  <si>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</si>
  <si>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</si>
  <si>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</si>
  <si>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</si>
  <si>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</si>
  <si>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</si>
  <si>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</si>
  <si>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</si>
  <si>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</si>
  <si>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</si>
  <si>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 </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</si>
  <si>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</si>
  <si>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</si>
  <si>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</si>
  <si>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</si>
  <si>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t>Неисполнение связано перечислением средств, согласно выставленных асетов и актов выполненных работ</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</si>
  <si>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</si>
  <si>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</si>
  <si>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</si>
  <si>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</si>
  <si>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</si>
  <si>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</si>
  <si>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</si>
  <si>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</si>
  <si>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</si>
  <si>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</si>
  <si>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</si>
  <si>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</si>
  <si>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</si>
  <si>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</si>
  <si>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</si>
  <si>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</si>
  <si>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</si>
  <si>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</si>
  <si>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 xml:space="preserve">отклонение плановых от фактических показателей составило 294,00 рублей </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</si>
  <si>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</si>
  <si>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</si>
  <si>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</si>
  <si>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</si>
  <si>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</si>
  <si>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</si>
  <si>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</si>
  <si>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 xml:space="preserve">Отклонение возникло в размере:
- 2375,67т.р -по оплате труда и начисления (наличие больничных листов, а также ср-ва по начислению на ЗП не востребовались, средства будут освоены в течение 2025 году)
- 24,26т.р.- услуги связи (в учреждении действует режим экономиии на телефонную связь)                                 - 265,33т.р.-по коммунальным услугам (фактические показания счетчиков);
- 77,92т.р.-по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- 94,34т.р.- прочие работы, услуги (остаток средств на: физ. охрану объекта, командировочные расходы, подписку на периодические издания будет освоен в течение 2025г.)
- 70,45т.р.-увеличение стоимости прочих материальных запасов (остаток средств. в связи с отсутствием документов на оплату будет освоен в течение 2025г.)
- 89,35 т.р. -увеличение стоимости основных средств (экономия по процедуре котировок за приобретение МФУ 3 шт.)
-102,03 т.р.-социальные компенсации персоналу в натуральной форме (больничные и санаторно-курортные путевки. Остаток средств будет освоен в течение 2025г.)  
- 153,35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</si>
  <si>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сентябре.</t>
  </si>
  <si>
    <t>Остаток средств в сумме 75,6 т.руб.-  прочие услуги оплата по факту на основании документов на оплату,  акта выполненных работ, средства будут использованы в сентябре.</t>
  </si>
  <si>
    <t>Остаток средств в сумме 141,440 т.руб.- в т.ч. транспортные расходы - 120,0 руб.,   канцелярские товары - 19,340 т.руб., прочее приобретение - 2,1 т.руб. оплата по факту на основании документов на оплату,  акта выполненных работ, средства будут использованы в сентябре.</t>
  </si>
  <si>
    <t>Остаток средств в сумме 7 357,427 т.руб., в т.ч.  остаток по  выплате заработной платы и соц.выплат   - 3 779,006  т.р. , начисл. на зар.плату - 1 608,928 т.руб., оплаты за коммунальные услуги по фактическим расходам и показаниям счетчиков- 658,995 т.р.,оплаты за содержание здания по факту предоставленных документов на оплату от поставщика - 489,975т.руб., оплата услуг связи - 69,251 т.руб., оплата б/л за счет ср-в работод -140,758  т.руб.оплаты налога на имущество - 415,957 т.руб.оплата командировочных- 17,260 т.руб., оплата проезда в отпуск и обратно - 156,297 т.руб.,сан.кур.-21,0 т.руб.</t>
  </si>
  <si>
    <t>АРТ - Отклонение 8,800руб. - экономия по костюмам: приобретены утепленные костюмы - 4 комплекта (куртка, брюки, шапка)                                                                                                      МВЦ - Остаток средств в сумме 60,0 т.руб.- в т.ч.  прочее приобретение, оплата по факту на основании документов на оплату,  акта выполненных работ, средства будут использованы в сентябре.</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</si>
  <si>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</si>
  <si>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</si>
  <si>
    <t xml:space="preserve">Экономия средств в сумме 1848,48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</si>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</sst>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_ ;[Red]\-#,##0.0\ "/>
    <numFmt numFmtId="165" formatCode="#,##0_ ;[Red]\-#,##0\ "/>
    <numFmt numFmtId="166" formatCode="#,##0.00_ ;[Red]\-#,##0.00\ "/>
    <numFmt numFmtId="167" formatCode="_(* #,##0.00_);_(* \(#,##0.00\);_(* &quot;-&quot;??_);_(@_)"/>
    <numFmt numFmtId="168" formatCode="0.000"/>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ont>
  </fonts>
  <fills count="2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rgb="FF7030A0"/>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711">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6" borderId="0" xfId="1" applyFont="1" applyFill="1" applyAlignment="1" applyProtection="1">
      <alignment vertical="center" wrapText="1"/>
    </xf>
    <xf numFmtId="49" fontId="13" fillId="16" borderId="9" xfId="1" applyNumberFormat="1" applyFont="1" applyFill="1" applyBorder="1" applyAlignment="1" applyProtection="1">
      <alignment horizontal="center" vertical="center" wrapText="1"/>
    </xf>
    <xf numFmtId="165" fontId="3" fillId="16" borderId="9" xfId="1" applyNumberFormat="1" applyFont="1" applyFill="1" applyBorder="1" applyAlignment="1" applyProtection="1">
      <alignment horizontal="center" vertical="center" wrapText="1"/>
    </xf>
    <xf numFmtId="166" fontId="13" fillId="16" borderId="9" xfId="1" applyNumberFormat="1" applyFont="1" applyFill="1" applyBorder="1" applyAlignment="1" applyProtection="1">
      <alignment horizontal="center" vertical="center"/>
      <protection locked="0"/>
    </xf>
    <xf numFmtId="166" fontId="13" fillId="16" borderId="9" xfId="1" applyNumberFormat="1" applyFont="1" applyFill="1" applyBorder="1" applyAlignment="1" applyProtection="1">
      <alignment horizontal="center" vertical="center"/>
    </xf>
    <xf numFmtId="166" fontId="3" fillId="16" borderId="9" xfId="1" applyNumberFormat="1" applyFont="1" applyFill="1" applyBorder="1" applyAlignment="1" applyProtection="1">
      <alignment horizontal="center" vertical="center"/>
      <protection locked="0"/>
    </xf>
    <xf numFmtId="0" fontId="10" fillId="16"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7" borderId="9" xfId="1" applyFont="1" applyFill="1" applyBorder="1" applyAlignment="1" applyProtection="1">
      <alignment horizontal="left" vertical="center" wrapText="1"/>
    </xf>
    <xf numFmtId="166" fontId="13" fillId="17" borderId="9" xfId="1" applyNumberFormat="1" applyFont="1" applyFill="1" applyBorder="1" applyAlignment="1" applyProtection="1">
      <alignment horizontal="center" vertical="center"/>
    </xf>
    <xf numFmtId="166" fontId="13" fillId="17"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0" fontId="2" fillId="18" borderId="0" xfId="1" applyFont="1" applyFill="1" applyAlignment="1" applyProtection="1">
      <alignment vertical="center" wrapText="1"/>
    </xf>
    <xf numFmtId="49" fontId="13" fillId="18" borderId="9" xfId="1" applyNumberFormat="1" applyFont="1" applyFill="1" applyBorder="1" applyAlignment="1" applyProtection="1">
      <alignment horizontal="center" vertical="center" wrapText="1"/>
    </xf>
    <xf numFmtId="165" fontId="3" fillId="18" borderId="9" xfId="1" applyNumberFormat="1" applyFont="1" applyFill="1" applyBorder="1" applyAlignment="1" applyProtection="1">
      <alignment horizontal="center" vertical="center" wrapText="1"/>
    </xf>
    <xf numFmtId="166" fontId="13" fillId="18" borderId="9" xfId="1" applyNumberFormat="1" applyFont="1" applyFill="1" applyBorder="1" applyAlignment="1" applyProtection="1">
      <alignment horizontal="center" vertical="center"/>
      <protection locked="0"/>
    </xf>
    <xf numFmtId="166" fontId="13" fillId="18" borderId="9" xfId="1" applyNumberFormat="1" applyFont="1" applyFill="1" applyBorder="1" applyAlignment="1" applyProtection="1">
      <alignment horizontal="center" vertical="center"/>
    </xf>
    <xf numFmtId="166" fontId="3" fillId="18" borderId="9" xfId="1" applyNumberFormat="1" applyFont="1" applyFill="1" applyBorder="1" applyAlignment="1" applyProtection="1">
      <alignment horizontal="center" vertical="center"/>
      <protection locked="0"/>
    </xf>
    <xf numFmtId="0" fontId="10" fillId="18" borderId="0" xfId="1" applyFont="1" applyFill="1" applyProtection="1"/>
    <xf numFmtId="0" fontId="2" fillId="10" borderId="0" xfId="1" applyFont="1" applyFill="1" applyAlignment="1" applyProtection="1">
      <alignment vertical="center" wrapText="1"/>
    </xf>
    <xf numFmtId="49" fontId="13" fillId="10" borderId="9" xfId="1" applyNumberFormat="1" applyFont="1" applyFill="1" applyBorder="1" applyAlignment="1" applyProtection="1">
      <alignment horizontal="center" vertical="center" wrapText="1"/>
    </xf>
    <xf numFmtId="165" fontId="3" fillId="10" borderId="9" xfId="1" applyNumberFormat="1" applyFont="1" applyFill="1" applyBorder="1" applyAlignment="1" applyProtection="1">
      <alignment horizontal="center" vertical="center" wrapText="1"/>
    </xf>
    <xf numFmtId="166" fontId="3" fillId="10" borderId="9" xfId="1" applyNumberFormat="1" applyFont="1" applyFill="1" applyBorder="1" applyAlignment="1" applyProtection="1">
      <alignment horizontal="center" vertical="center"/>
      <protection locked="0"/>
    </xf>
    <xf numFmtId="0" fontId="10" fillId="10" borderId="0" xfId="1" applyFont="1" applyFill="1" applyProtection="1"/>
    <xf numFmtId="0" fontId="2" fillId="2" borderId="0" xfId="1" applyFont="1" applyFill="1" applyAlignment="1" applyProtection="1">
      <alignment vertical="center" wrapText="1"/>
    </xf>
    <xf numFmtId="49" fontId="13" fillId="2" borderId="9" xfId="1" applyNumberFormat="1" applyFont="1" applyFill="1" applyBorder="1" applyAlignment="1" applyProtection="1">
      <alignment horizontal="center" vertical="center" wrapText="1"/>
    </xf>
    <xf numFmtId="165" fontId="3" fillId="2" borderId="9" xfId="1" applyNumberFormat="1" applyFont="1" applyFill="1" applyBorder="1" applyAlignment="1" applyProtection="1">
      <alignment horizontal="center" vertical="center" wrapText="1"/>
    </xf>
    <xf numFmtId="0" fontId="10" fillId="2" borderId="0" xfId="1" applyFont="1" applyFill="1" applyProtection="1"/>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3" fillId="9" borderId="9" xfId="1" applyFont="1" applyFill="1" applyBorder="1" applyAlignment="1" applyProtection="1">
      <alignment horizontal="justify" vertical="center" wrapText="1"/>
    </xf>
    <xf numFmtId="0" fontId="3" fillId="11" borderId="9" xfId="1" applyFont="1" applyFill="1" applyBorder="1" applyAlignment="1" applyProtection="1">
      <alignment vertical="center" wrapText="1"/>
    </xf>
    <xf numFmtId="0" fontId="3" fillId="8" borderId="9" xfId="1" applyFont="1" applyFill="1" applyBorder="1" applyAlignment="1" applyProtection="1">
      <alignment vertical="center" wrapText="1"/>
    </xf>
    <xf numFmtId="0" fontId="2" fillId="10" borderId="9" xfId="1" applyFont="1" applyFill="1" applyBorder="1" applyAlignment="1" applyProtection="1">
      <alignment vertical="center" wrapText="1"/>
    </xf>
    <xf numFmtId="0" fontId="3" fillId="14" borderId="9" xfId="1" applyFont="1" applyFill="1" applyBorder="1" applyAlignment="1" applyProtection="1">
      <alignment horizontal="justify" vertical="center" wrapText="1"/>
    </xf>
    <xf numFmtId="0" fontId="3" fillId="13"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3" fillId="0" borderId="2" xfId="1" applyFont="1" applyFill="1" applyBorder="1" applyAlignment="1" applyProtection="1">
      <alignment vertical="center" wrapText="1"/>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20" borderId="9" xfId="1" applyFont="1" applyFill="1" applyBorder="1" applyAlignment="1" applyProtection="1">
      <alignment vertical="center" wrapText="1"/>
    </xf>
    <xf numFmtId="166" fontId="3" fillId="20"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164" fontId="2" fillId="6" borderId="0" xfId="1" applyNumberFormat="1" applyFont="1" applyFill="1" applyAlignment="1" applyProtection="1">
      <alignment vertical="center" wrapText="1"/>
    </xf>
    <xf numFmtId="164" fontId="13" fillId="6" borderId="0" xfId="1" applyNumberFormat="1" applyFont="1" applyFill="1" applyAlignment="1" applyProtection="1">
      <alignment vertical="center" wrapText="1"/>
    </xf>
    <xf numFmtId="164" fontId="13" fillId="6" borderId="1" xfId="1" applyNumberFormat="1" applyFont="1" applyFill="1" applyBorder="1" applyAlignment="1" applyProtection="1">
      <alignment vertical="center" wrapText="1"/>
    </xf>
    <xf numFmtId="49" fontId="13" fillId="6" borderId="9" xfId="1" applyNumberFormat="1" applyFont="1" applyFill="1" applyBorder="1" applyAlignment="1" applyProtection="1">
      <alignment horizontal="center" vertical="center" wrapText="1"/>
    </xf>
    <xf numFmtId="165" fontId="3" fillId="6" borderId="9" xfId="1" applyNumberFormat="1" applyFont="1" applyFill="1" applyBorder="1" applyAlignment="1" applyProtection="1">
      <alignment horizontal="center" vertical="center" wrapText="1"/>
    </xf>
    <xf numFmtId="166" fontId="3" fillId="6" borderId="9" xfId="1" applyNumberFormat="1" applyFont="1" applyFill="1" applyBorder="1" applyAlignment="1" applyProtection="1">
      <alignment horizontal="center" vertical="center"/>
      <protection locked="0"/>
    </xf>
    <xf numFmtId="0" fontId="10" fillId="6" borderId="0" xfId="1" applyFont="1" applyFill="1" applyProtection="1"/>
    <xf numFmtId="0" fontId="38" fillId="0" borderId="0" xfId="1" applyFont="1" applyAlignment="1" applyProtection="1">
      <alignment horizontal="justify" vertical="center" wrapText="1"/>
    </xf>
    <xf numFmtId="165" fontId="38" fillId="0" borderId="9" xfId="1" applyNumberFormat="1" applyFont="1" applyFill="1" applyBorder="1" applyAlignment="1" applyProtection="1">
      <alignment horizontal="center" vertical="center" wrapText="1"/>
    </xf>
    <xf numFmtId="166" fontId="35" fillId="9" borderId="9" xfId="1" applyNumberFormat="1" applyFont="1" applyFill="1" applyBorder="1" applyAlignment="1" applyProtection="1">
      <alignment horizontal="center" vertical="center"/>
      <protection locked="0"/>
    </xf>
    <xf numFmtId="166" fontId="35" fillId="8" borderId="9" xfId="1" applyNumberFormat="1" applyFont="1" applyFill="1" applyBorder="1" applyAlignment="1" applyProtection="1">
      <alignment horizontal="center" vertical="center"/>
    </xf>
    <xf numFmtId="166" fontId="35" fillId="10" borderId="9" xfId="1" applyNumberFormat="1" applyFont="1" applyFill="1" applyBorder="1" applyAlignment="1" applyProtection="1">
      <alignment horizontal="center" vertical="center"/>
    </xf>
    <xf numFmtId="166" fontId="35" fillId="11" borderId="9" xfId="1" applyNumberFormat="1" applyFont="1" applyFill="1" applyBorder="1" applyAlignment="1" applyProtection="1">
      <alignment horizontal="center" vertical="center"/>
    </xf>
    <xf numFmtId="166" fontId="35" fillId="15" borderId="9" xfId="1" applyNumberFormat="1" applyFont="1" applyFill="1" applyBorder="1" applyAlignment="1" applyProtection="1">
      <alignment horizontal="center" vertical="center"/>
    </xf>
    <xf numFmtId="166" fontId="35" fillId="14" borderId="9" xfId="1" applyNumberFormat="1" applyFont="1" applyFill="1" applyBorder="1" applyAlignment="1" applyProtection="1">
      <alignment horizontal="center" vertical="center"/>
    </xf>
    <xf numFmtId="166" fontId="35" fillId="12" borderId="9" xfId="1" applyNumberFormat="1" applyFont="1" applyFill="1" applyBorder="1" applyAlignment="1" applyProtection="1">
      <alignment horizontal="center" vertical="center"/>
    </xf>
    <xf numFmtId="166" fontId="35" fillId="6" borderId="9" xfId="1" applyNumberFormat="1" applyFont="1" applyFill="1" applyBorder="1" applyAlignment="1" applyProtection="1">
      <alignment horizontal="center" vertical="center"/>
    </xf>
    <xf numFmtId="166" fontId="35" fillId="13" borderId="9" xfId="1" applyNumberFormat="1" applyFont="1" applyFill="1" applyBorder="1" applyAlignment="1" applyProtection="1">
      <alignment horizontal="center" vertical="center"/>
    </xf>
    <xf numFmtId="0" fontId="1" fillId="0" borderId="0" xfId="1" applyFont="1" applyProtection="1"/>
    <xf numFmtId="164" fontId="2" fillId="17" borderId="0" xfId="1" applyNumberFormat="1" applyFont="1" applyFill="1" applyAlignment="1" applyProtection="1">
      <alignment vertical="center" wrapText="1"/>
    </xf>
    <xf numFmtId="164" fontId="13" fillId="17" borderId="0" xfId="1" applyNumberFormat="1" applyFont="1" applyFill="1" applyAlignment="1" applyProtection="1">
      <alignment vertical="center" wrapText="1"/>
    </xf>
    <xf numFmtId="164" fontId="13" fillId="17" borderId="1" xfId="1" applyNumberFormat="1" applyFont="1" applyFill="1" applyBorder="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0" fontId="38" fillId="21" borderId="0" xfId="1" applyFont="1" applyFill="1" applyAlignment="1" applyProtection="1">
      <alignment horizontal="justify" vertical="center" wrapText="1"/>
    </xf>
    <xf numFmtId="14" fontId="35" fillId="21" borderId="9" xfId="1" applyNumberFormat="1" applyFont="1" applyFill="1" applyBorder="1" applyAlignment="1" applyProtection="1">
      <alignment horizontal="center" vertical="center" wrapText="1"/>
    </xf>
    <xf numFmtId="165" fontId="38" fillId="21" borderId="9" xfId="1" applyNumberFormat="1" applyFont="1" applyFill="1" applyBorder="1" applyAlignment="1" applyProtection="1">
      <alignment horizontal="center" vertical="center" wrapText="1"/>
    </xf>
    <xf numFmtId="166" fontId="35" fillId="21" borderId="9" xfId="1" applyNumberFormat="1" applyFont="1" applyFill="1" applyBorder="1" applyAlignment="1" applyProtection="1">
      <alignment horizontal="center" vertical="center"/>
    </xf>
    <xf numFmtId="166" fontId="35" fillId="21" borderId="9" xfId="1" applyNumberFormat="1" applyFont="1" applyFill="1" applyBorder="1" applyAlignment="1" applyProtection="1">
      <alignment horizontal="center" vertical="center"/>
      <protection locked="0"/>
    </xf>
    <xf numFmtId="166" fontId="38" fillId="21" borderId="9" xfId="1" applyNumberFormat="1" applyFont="1" applyFill="1" applyBorder="1" applyAlignment="1" applyProtection="1">
      <alignment horizontal="center" vertical="center"/>
    </xf>
    <xf numFmtId="0" fontId="1" fillId="21" borderId="0" xfId="1" applyFont="1" applyFill="1" applyProtection="1"/>
    <xf numFmtId="0" fontId="31"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22"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4" fontId="2" fillId="23" borderId="0" xfId="1" applyNumberFormat="1" applyFont="1" applyFill="1" applyAlignment="1" applyProtection="1">
      <alignment vertical="center" wrapText="1"/>
    </xf>
    <xf numFmtId="164" fontId="13" fillId="23" borderId="0" xfId="1" applyNumberFormat="1" applyFont="1" applyFill="1" applyAlignment="1" applyProtection="1">
      <alignment vertical="center" wrapText="1"/>
    </xf>
    <xf numFmtId="164" fontId="13" fillId="23" borderId="1" xfId="1" applyNumberFormat="1" applyFont="1" applyFill="1" applyBorder="1" applyAlignment="1" applyProtection="1">
      <alignment vertical="center" wrapText="1"/>
    </xf>
    <xf numFmtId="49" fontId="13" fillId="23" borderId="9" xfId="1" applyNumberFormat="1" applyFont="1" applyFill="1" applyBorder="1" applyAlignment="1" applyProtection="1">
      <alignment horizontal="center" vertical="center" wrapText="1"/>
    </xf>
    <xf numFmtId="165" fontId="3" fillId="23" borderId="9" xfId="1" applyNumberFormat="1" applyFont="1" applyFill="1" applyBorder="1" applyAlignment="1" applyProtection="1">
      <alignment horizontal="center" vertical="center" wrapText="1"/>
    </xf>
    <xf numFmtId="166" fontId="13" fillId="23" borderId="9" xfId="1" applyNumberFormat="1" applyFont="1" applyFill="1" applyBorder="1" applyAlignment="1" applyProtection="1">
      <alignment horizontal="center" vertical="center"/>
      <protection locked="0"/>
    </xf>
    <xf numFmtId="166" fontId="13" fillId="23" borderId="9" xfId="1" applyNumberFormat="1" applyFont="1" applyFill="1" applyBorder="1" applyAlignment="1" applyProtection="1">
      <alignment horizontal="center" vertical="center"/>
    </xf>
    <xf numFmtId="166" fontId="3" fillId="23" borderId="9" xfId="1" applyNumberFormat="1" applyFont="1" applyFill="1" applyBorder="1" applyAlignment="1" applyProtection="1">
      <alignment horizontal="center" vertical="center"/>
      <protection locked="0"/>
    </xf>
    <xf numFmtId="0" fontId="10" fillId="23" borderId="0" xfId="1" applyFont="1" applyFill="1" applyProtection="1"/>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164" fontId="2" fillId="4" borderId="0" xfId="1" applyNumberFormat="1" applyFont="1" applyFill="1" applyAlignment="1" applyProtection="1">
      <alignment vertical="center" wrapText="1"/>
    </xf>
    <xf numFmtId="164" fontId="13" fillId="4" borderId="0" xfId="1" applyNumberFormat="1" applyFont="1" applyFill="1" applyAlignment="1" applyProtection="1">
      <alignment vertical="center" wrapText="1"/>
    </xf>
    <xf numFmtId="164" fontId="13" fillId="4" borderId="1" xfId="1" applyNumberFormat="1" applyFont="1" applyFill="1" applyBorder="1" applyAlignment="1" applyProtection="1">
      <alignment vertical="center" wrapText="1"/>
    </xf>
    <xf numFmtId="49" fontId="13" fillId="4" borderId="9" xfId="1" applyNumberFormat="1" applyFont="1" applyFill="1" applyBorder="1" applyAlignment="1" applyProtection="1">
      <alignment horizontal="center" vertical="center" wrapText="1"/>
    </xf>
    <xf numFmtId="165" fontId="3" fillId="4" borderId="9" xfId="1" applyNumberFormat="1" applyFont="1" applyFill="1" applyBorder="1" applyAlignment="1" applyProtection="1">
      <alignment horizontal="center" vertical="center" wrapText="1"/>
    </xf>
    <xf numFmtId="0" fontId="10" fillId="4" borderId="0" xfId="1" applyFont="1" applyFill="1" applyProtection="1"/>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8" fillId="24" borderId="9" xfId="1" applyNumberFormat="1" applyFont="1" applyFill="1" applyBorder="1" applyAlignment="1" applyProtection="1">
      <alignment horizontal="center" vertical="center"/>
      <protection locked="0"/>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5"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5"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3" fillId="0" borderId="9" xfId="1" applyFont="1" applyBorder="1" applyAlignment="1" applyProtection="1">
      <alignment horizontal="right"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8" fillId="0" borderId="9" xfId="1" applyFont="1" applyFill="1" applyBorder="1" applyAlignment="1" applyProtection="1">
      <alignment horizontal="righ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center" vertical="center"/>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5" xfId="1" applyFont="1" applyBorder="1" applyAlignment="1" applyProtection="1">
      <alignment horizontal="center" vertical="center"/>
    </xf>
    <xf numFmtId="0" fontId="21" fillId="0" borderId="8"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5" xfId="1" applyFont="1" applyFill="1" applyBorder="1" applyAlignment="1" applyProtection="1">
      <alignment horizontal="left" vertical="center" wrapText="1"/>
    </xf>
    <xf numFmtId="0" fontId="12" fillId="0" borderId="8" xfId="0" applyFont="1" applyBorder="1" applyAlignment="1">
      <alignment horizontal="center" vertical="center"/>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12" fillId="0" borderId="8" xfId="0" applyFont="1" applyFill="1" applyBorder="1" applyAlignment="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23" fillId="17" borderId="2" xfId="1" applyFont="1" applyFill="1" applyBorder="1" applyAlignment="1" applyProtection="1">
      <alignment horizontal="center" vertical="center"/>
    </xf>
    <xf numFmtId="0" fontId="23" fillId="17" borderId="5" xfId="1" applyFont="1" applyFill="1" applyBorder="1" applyAlignment="1" applyProtection="1">
      <alignment horizontal="center" vertical="center"/>
    </xf>
    <xf numFmtId="0" fontId="23" fillId="17" borderId="8" xfId="1" applyFont="1" applyFill="1" applyBorder="1" applyAlignment="1" applyProtection="1">
      <alignment horizontal="center" vertical="center"/>
    </xf>
    <xf numFmtId="0" fontId="13" fillId="17" borderId="2" xfId="1" applyFont="1" applyFill="1" applyBorder="1" applyAlignment="1" applyProtection="1">
      <alignment horizontal="center" vertical="center" wrapText="1"/>
    </xf>
    <xf numFmtId="0" fontId="13" fillId="17" borderId="5" xfId="1" applyFont="1" applyFill="1" applyBorder="1" applyAlignment="1" applyProtection="1">
      <alignment horizontal="center" vertical="center" wrapText="1"/>
    </xf>
    <xf numFmtId="0" fontId="13" fillId="17" borderId="8" xfId="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21" borderId="2" xfId="1" applyNumberFormat="1" applyFont="1" applyFill="1" applyBorder="1" applyAlignment="1" applyProtection="1">
      <alignment horizontal="center" vertical="center" wrapText="1"/>
    </xf>
    <xf numFmtId="164" fontId="35" fillId="21" borderId="5" xfId="1" applyNumberFormat="1" applyFont="1" applyFill="1" applyBorder="1" applyAlignment="1" applyProtection="1">
      <alignment horizontal="center" vertical="center"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12" fillId="0" borderId="8" xfId="0" applyFont="1" applyFill="1" applyBorder="1" applyAlignment="1">
      <alignment horizontal="left"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9" borderId="3" xfId="1" applyNumberFormat="1" applyFont="1" applyFill="1" applyBorder="1" applyAlignment="1" applyProtection="1">
      <alignment horizontal="center" vertical="center" wrapText="1"/>
    </xf>
    <xf numFmtId="164" fontId="13" fillId="19" borderId="4" xfId="1" applyNumberFormat="1" applyFont="1" applyFill="1" applyBorder="1" applyAlignment="1" applyProtection="1">
      <alignment horizontal="center" vertical="center" wrapText="1"/>
    </xf>
    <xf numFmtId="164" fontId="13" fillId="19" borderId="6" xfId="1" applyNumberFormat="1" applyFont="1" applyFill="1" applyBorder="1" applyAlignment="1" applyProtection="1">
      <alignment horizontal="center" vertical="center" wrapText="1"/>
    </xf>
    <xf numFmtId="164" fontId="13" fillId="19" borderId="7" xfId="1" applyNumberFormat="1" applyFont="1" applyFill="1" applyBorder="1" applyAlignment="1" applyProtection="1">
      <alignment horizontal="center" vertical="center" wrapText="1"/>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3" fillId="0" borderId="2"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2"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0" fontId="3" fillId="0" borderId="5" xfId="1" applyFont="1" applyFill="1" applyBorder="1" applyAlignment="1" applyProtection="1">
      <alignment horizontal="center" vertic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xf numFmtId="0" fontId="3" fillId="0" borderId="5"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9" xfId="1" applyFont="1" applyFill="1" applyBorder="1" applyAlignment="1" applyProtection="1">
      <alignment horizontal="left" vertical="center" wrapText="1"/>
    </xf>
    <xf numFmtId="0" fontId="14" fillId="0" borderId="9" xfId="1" applyFont="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1.%20&#1040;&#1056;&#1058;\10.%20&#1086;&#1082;&#1090;&#1103;&#1073;&#1088;&#1100;\&#1057;&#1077;&#1090;&#1077;&#1074;&#1099;&#1077;%20&#1075;&#1088;&#1072;&#1092;&#1080;&#1082;&#1080;%20&#1085;&#1072;%2001.1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зв.кул."/>
    </sheetNames>
    <sheetDataSet>
      <sheetData sheetId="0" refreshError="1"/>
    </sheetDataSet>
  </externalBook>
</externalLink>
</file>

<file path=xl/revisions/_rels/revisionHeaders.xml.rels><?xml version="1.0" encoding="UTF-8" standalone="yes"?>
<Relationships xmlns="http://schemas.openxmlformats.org/package/2006/relationships"><Relationship Id="rId26" Type="http://schemas.openxmlformats.org/officeDocument/2006/relationships/revisionLog" Target="revisionLog26.xml"/><Relationship Id="rId117" Type="http://schemas.openxmlformats.org/officeDocument/2006/relationships/revisionLog" Target="revisionLog117.xml"/><Relationship Id="rId21" Type="http://schemas.openxmlformats.org/officeDocument/2006/relationships/revisionLog" Target="revisionLog21.xml"/><Relationship Id="rId42" Type="http://schemas.openxmlformats.org/officeDocument/2006/relationships/revisionLog" Target="revisionLog42.xml"/><Relationship Id="rId47" Type="http://schemas.openxmlformats.org/officeDocument/2006/relationships/revisionLog" Target="revisionLog47.xml"/><Relationship Id="rId63" Type="http://schemas.openxmlformats.org/officeDocument/2006/relationships/revisionLog" Target="revisionLog63.xml"/><Relationship Id="rId68" Type="http://schemas.openxmlformats.org/officeDocument/2006/relationships/revisionLog" Target="revisionLog68.xml"/><Relationship Id="rId84" Type="http://schemas.openxmlformats.org/officeDocument/2006/relationships/revisionLog" Target="revisionLog84.xml"/><Relationship Id="rId89" Type="http://schemas.openxmlformats.org/officeDocument/2006/relationships/revisionLog" Target="revisionLog89.xml"/><Relationship Id="rId112" Type="http://schemas.openxmlformats.org/officeDocument/2006/relationships/revisionLog" Target="revisionLog112.xml"/><Relationship Id="rId133" Type="http://schemas.openxmlformats.org/officeDocument/2006/relationships/revisionLog" Target="revisionLog133.xml"/><Relationship Id="rId16" Type="http://schemas.openxmlformats.org/officeDocument/2006/relationships/revisionLog" Target="revisionLog16.xml"/><Relationship Id="rId107" Type="http://schemas.openxmlformats.org/officeDocument/2006/relationships/revisionLog" Target="revisionLog107.xml"/><Relationship Id="rId11" Type="http://schemas.openxmlformats.org/officeDocument/2006/relationships/revisionLog" Target="revisionLog11.xml"/><Relationship Id="rId32" Type="http://schemas.openxmlformats.org/officeDocument/2006/relationships/revisionLog" Target="revisionLog32.xml"/><Relationship Id="rId37" Type="http://schemas.openxmlformats.org/officeDocument/2006/relationships/revisionLog" Target="revisionLog37.xml"/><Relationship Id="rId53" Type="http://schemas.openxmlformats.org/officeDocument/2006/relationships/revisionLog" Target="revisionLog53.xml"/><Relationship Id="rId58" Type="http://schemas.openxmlformats.org/officeDocument/2006/relationships/revisionLog" Target="revisionLog58.xml"/><Relationship Id="rId74" Type="http://schemas.openxmlformats.org/officeDocument/2006/relationships/revisionLog" Target="revisionLog74.xml"/><Relationship Id="rId79" Type="http://schemas.openxmlformats.org/officeDocument/2006/relationships/revisionLog" Target="revisionLog79.xml"/><Relationship Id="rId102" Type="http://schemas.openxmlformats.org/officeDocument/2006/relationships/revisionLog" Target="revisionLog102.xml"/><Relationship Id="rId123" Type="http://schemas.openxmlformats.org/officeDocument/2006/relationships/revisionLog" Target="revisionLog123.xml"/><Relationship Id="rId128" Type="http://schemas.openxmlformats.org/officeDocument/2006/relationships/revisionLog" Target="revisionLog128.xml"/><Relationship Id="rId5" Type="http://schemas.openxmlformats.org/officeDocument/2006/relationships/revisionLog" Target="revisionLog5.xml"/><Relationship Id="rId90" Type="http://schemas.openxmlformats.org/officeDocument/2006/relationships/revisionLog" Target="revisionLog90.xml"/><Relationship Id="rId95" Type="http://schemas.openxmlformats.org/officeDocument/2006/relationships/revisionLog" Target="revisionLog95.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69" Type="http://schemas.openxmlformats.org/officeDocument/2006/relationships/revisionLog" Target="revisionLog69.xml"/><Relationship Id="rId77" Type="http://schemas.openxmlformats.org/officeDocument/2006/relationships/revisionLog" Target="revisionLog77.xml"/><Relationship Id="rId100" Type="http://schemas.openxmlformats.org/officeDocument/2006/relationships/revisionLog" Target="revisionLog100.xml"/><Relationship Id="rId105" Type="http://schemas.openxmlformats.org/officeDocument/2006/relationships/revisionLog" Target="revisionLog105.xml"/><Relationship Id="rId113" Type="http://schemas.openxmlformats.org/officeDocument/2006/relationships/revisionLog" Target="revisionLog113.xml"/><Relationship Id="rId118" Type="http://schemas.openxmlformats.org/officeDocument/2006/relationships/revisionLog" Target="revisionLog118.xml"/><Relationship Id="rId126" Type="http://schemas.openxmlformats.org/officeDocument/2006/relationships/revisionLog" Target="revisionLog126.xml"/><Relationship Id="rId134" Type="http://schemas.openxmlformats.org/officeDocument/2006/relationships/revisionLog" Target="revisionLog134.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80" Type="http://schemas.openxmlformats.org/officeDocument/2006/relationships/revisionLog" Target="revisionLog80.xml"/><Relationship Id="rId85" Type="http://schemas.openxmlformats.org/officeDocument/2006/relationships/revisionLog" Target="revisionLog85.xml"/><Relationship Id="rId93" Type="http://schemas.openxmlformats.org/officeDocument/2006/relationships/revisionLog" Target="revisionLog93.xml"/><Relationship Id="rId98" Type="http://schemas.openxmlformats.org/officeDocument/2006/relationships/revisionLog" Target="revisionLog98.xml"/><Relationship Id="rId121" Type="http://schemas.openxmlformats.org/officeDocument/2006/relationships/revisionLog" Target="revisionLog121.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 Id="rId67" Type="http://schemas.openxmlformats.org/officeDocument/2006/relationships/revisionLog" Target="revisionLog67.xml"/><Relationship Id="rId103" Type="http://schemas.openxmlformats.org/officeDocument/2006/relationships/revisionLog" Target="revisionLog103.xml"/><Relationship Id="rId108" Type="http://schemas.openxmlformats.org/officeDocument/2006/relationships/revisionLog" Target="revisionLog108.xml"/><Relationship Id="rId116" Type="http://schemas.openxmlformats.org/officeDocument/2006/relationships/revisionLog" Target="revisionLog116.xml"/><Relationship Id="rId124" Type="http://schemas.openxmlformats.org/officeDocument/2006/relationships/revisionLog" Target="revisionLog124.xml"/><Relationship Id="rId129" Type="http://schemas.openxmlformats.org/officeDocument/2006/relationships/revisionLog" Target="revisionLog129.xml"/><Relationship Id="rId137" Type="http://schemas.openxmlformats.org/officeDocument/2006/relationships/revisionLog" Target="revisionLog137.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62" Type="http://schemas.openxmlformats.org/officeDocument/2006/relationships/revisionLog" Target="revisionLog62.xml"/><Relationship Id="rId70" Type="http://schemas.openxmlformats.org/officeDocument/2006/relationships/revisionLog" Target="revisionLog70.xml"/><Relationship Id="rId75" Type="http://schemas.openxmlformats.org/officeDocument/2006/relationships/revisionLog" Target="revisionLog75.xml"/><Relationship Id="rId83" Type="http://schemas.openxmlformats.org/officeDocument/2006/relationships/revisionLog" Target="revisionLog83.xml"/><Relationship Id="rId88" Type="http://schemas.openxmlformats.org/officeDocument/2006/relationships/revisionLog" Target="revisionLog88.xml"/><Relationship Id="rId91" Type="http://schemas.openxmlformats.org/officeDocument/2006/relationships/revisionLog" Target="revisionLog91.xml"/><Relationship Id="rId96" Type="http://schemas.openxmlformats.org/officeDocument/2006/relationships/revisionLog" Target="revisionLog96.xml"/><Relationship Id="rId111" Type="http://schemas.openxmlformats.org/officeDocument/2006/relationships/revisionLog" Target="revisionLog111.xml"/><Relationship Id="rId132" Type="http://schemas.openxmlformats.org/officeDocument/2006/relationships/revisionLog" Target="revisionLog132.xml"/><Relationship Id="rId1" Type="http://schemas.openxmlformats.org/officeDocument/2006/relationships/revisionLog" Target="revisionLog1.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106" Type="http://schemas.openxmlformats.org/officeDocument/2006/relationships/revisionLog" Target="revisionLog106.xml"/><Relationship Id="rId114" Type="http://schemas.openxmlformats.org/officeDocument/2006/relationships/revisionLog" Target="revisionLog114.xml"/><Relationship Id="rId119" Type="http://schemas.openxmlformats.org/officeDocument/2006/relationships/revisionLog" Target="revisionLog119.xml"/><Relationship Id="rId127" Type="http://schemas.openxmlformats.org/officeDocument/2006/relationships/revisionLog" Target="revisionLog127.xml"/><Relationship Id="rId10" Type="http://schemas.openxmlformats.org/officeDocument/2006/relationships/revisionLog" Target="revisionLog10.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78" Type="http://schemas.openxmlformats.org/officeDocument/2006/relationships/revisionLog" Target="revisionLog78.xml"/><Relationship Id="rId81" Type="http://schemas.openxmlformats.org/officeDocument/2006/relationships/revisionLog" Target="revisionLog81.xml"/><Relationship Id="rId86" Type="http://schemas.openxmlformats.org/officeDocument/2006/relationships/revisionLog" Target="revisionLog86.xml"/><Relationship Id="rId94" Type="http://schemas.openxmlformats.org/officeDocument/2006/relationships/revisionLog" Target="revisionLog94.xml"/><Relationship Id="rId99" Type="http://schemas.openxmlformats.org/officeDocument/2006/relationships/revisionLog" Target="revisionLog99.xml"/><Relationship Id="rId101" Type="http://schemas.openxmlformats.org/officeDocument/2006/relationships/revisionLog" Target="revisionLog101.xml"/><Relationship Id="rId122" Type="http://schemas.openxmlformats.org/officeDocument/2006/relationships/revisionLog" Target="revisionLog122.xml"/><Relationship Id="rId130" Type="http://schemas.openxmlformats.org/officeDocument/2006/relationships/revisionLog" Target="revisionLog130.xml"/><Relationship Id="rId135" Type="http://schemas.openxmlformats.org/officeDocument/2006/relationships/revisionLog" Target="revisionLog135.xml"/><Relationship Id="rId4" Type="http://schemas.openxmlformats.org/officeDocument/2006/relationships/revisionLog" Target="revisionLog4.xml"/><Relationship Id="rId9" Type="http://schemas.openxmlformats.org/officeDocument/2006/relationships/revisionLog" Target="revisionLog9.xml"/><Relationship Id="rId13" Type="http://schemas.openxmlformats.org/officeDocument/2006/relationships/revisionLog" Target="revisionLog13.xml"/><Relationship Id="rId18" Type="http://schemas.openxmlformats.org/officeDocument/2006/relationships/revisionLog" Target="revisionLog18.xml"/><Relationship Id="rId39" Type="http://schemas.openxmlformats.org/officeDocument/2006/relationships/revisionLog" Target="revisionLog39.xml"/><Relationship Id="rId109" Type="http://schemas.openxmlformats.org/officeDocument/2006/relationships/revisionLog" Target="revisionLog109.xml"/><Relationship Id="rId34" Type="http://schemas.openxmlformats.org/officeDocument/2006/relationships/revisionLog" Target="revisionLog34.xml"/><Relationship Id="rId50" Type="http://schemas.openxmlformats.org/officeDocument/2006/relationships/revisionLog" Target="revisionLog50.xml"/><Relationship Id="rId55" Type="http://schemas.openxmlformats.org/officeDocument/2006/relationships/revisionLog" Target="revisionLog55.xml"/><Relationship Id="rId76" Type="http://schemas.openxmlformats.org/officeDocument/2006/relationships/revisionLog" Target="revisionLog76.xml"/><Relationship Id="rId97" Type="http://schemas.openxmlformats.org/officeDocument/2006/relationships/revisionLog" Target="revisionLog97.xml"/><Relationship Id="rId104" Type="http://schemas.openxmlformats.org/officeDocument/2006/relationships/revisionLog" Target="revisionLog104.xml"/><Relationship Id="rId120" Type="http://schemas.openxmlformats.org/officeDocument/2006/relationships/revisionLog" Target="revisionLog120.xml"/><Relationship Id="rId125" Type="http://schemas.openxmlformats.org/officeDocument/2006/relationships/revisionLog" Target="revisionLog125.xml"/><Relationship Id="rId7" Type="http://schemas.openxmlformats.org/officeDocument/2006/relationships/revisionLog" Target="revisionLog7.xml"/><Relationship Id="rId71" Type="http://schemas.openxmlformats.org/officeDocument/2006/relationships/revisionLog" Target="revisionLog71.xml"/><Relationship Id="rId92" Type="http://schemas.openxmlformats.org/officeDocument/2006/relationships/revisionLog" Target="revisionLog92.xml"/><Relationship Id="rId2" Type="http://schemas.openxmlformats.org/officeDocument/2006/relationships/revisionLog" Target="revisionLog2.xml"/><Relationship Id="rId29" Type="http://schemas.openxmlformats.org/officeDocument/2006/relationships/revisionLog" Target="revisionLog29.xml"/><Relationship Id="rId24" Type="http://schemas.openxmlformats.org/officeDocument/2006/relationships/revisionLog" Target="revisionLog24.xml"/><Relationship Id="rId40" Type="http://schemas.openxmlformats.org/officeDocument/2006/relationships/revisionLog" Target="revisionLog40.xml"/><Relationship Id="rId45" Type="http://schemas.openxmlformats.org/officeDocument/2006/relationships/revisionLog" Target="revisionLog45.xml"/><Relationship Id="rId66" Type="http://schemas.openxmlformats.org/officeDocument/2006/relationships/revisionLog" Target="revisionLog66.xml"/><Relationship Id="rId87" Type="http://schemas.openxmlformats.org/officeDocument/2006/relationships/revisionLog" Target="revisionLog87.xml"/><Relationship Id="rId110" Type="http://schemas.openxmlformats.org/officeDocument/2006/relationships/revisionLog" Target="revisionLog110.xml"/><Relationship Id="rId115" Type="http://schemas.openxmlformats.org/officeDocument/2006/relationships/revisionLog" Target="revisionLog115.xml"/><Relationship Id="rId131" Type="http://schemas.openxmlformats.org/officeDocument/2006/relationships/revisionLog" Target="revisionLog131.xml"/><Relationship Id="rId136" Type="http://schemas.openxmlformats.org/officeDocument/2006/relationships/revisionLog" Target="revisionLog136.xml"/><Relationship Id="rId61" Type="http://schemas.openxmlformats.org/officeDocument/2006/relationships/revisionLog" Target="revisionLog61.xml"/><Relationship Id="rId82" Type="http://schemas.openxmlformats.org/officeDocument/2006/relationships/revisionLog" Target="revisionLog82.xml"/><Relationship Id="rId19" Type="http://schemas.openxmlformats.org/officeDocument/2006/relationships/revisionLog" Target="revisionLog1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A8D6BF0-FE10-4C16-B960-8265AFAA4A7F}" diskRevisions="1" revisionId="1139" version="3">
  <header guid="{ADECDC76-3570-4623-ADB7-69AF227276AA}" dateTime="2025-10-30T12:51:17" maxSheetId="22" userName="Цыганкова Ирина Анатольевна" r:id="rId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9E5914-0CA2-40B6-ADF7-FF47E88343FA}" dateTime="2025-10-30T12:53:42" maxSheetId="22" userName="Цыганкова Ирина Анатольевна" r:id="rId2" minRId="1" maxRId="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C259C59-404D-4408-A0EE-B231748EEC5F}" dateTime="2025-10-30T12:57:06" maxSheetId="22" userName="Цыганкова Ирина Анатольевна" r:id="rId3" minRId="11" maxRId="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EF77AF8-161F-42BC-89FF-5A316CB43523}" dateTime="2025-10-30T12:57:38" maxSheetId="22" userName="Цыганкова Ирина Анатольевна" r:id="rId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159B33-6C42-470B-86D3-0E932A35D89A}" dateTime="2025-10-30T13:02:19" maxSheetId="22" userName="Цыганкова Ирина Анатольевна" r:id="rId5" minRId="2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13DD20-B83D-402D-8D84-C8AE3CCB5A3C}" dateTime="2025-10-30T13:02:38" maxSheetId="22" userName="Цыганкова Ирина Анатольевна" r:id="rId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C246951-DA7E-4790-BCE2-76E36474F26B}" dateTime="2025-10-30T13:07:36" maxSheetId="22" userName="Цыганкова Ирина Анатольевна" r:id="rId7" minRId="23" maxRId="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66BA40-ECD7-4DC3-A661-19B29F7FF7A3}" dateTime="2025-10-30T13:09:40" maxSheetId="22" userName="Цыганкова Ирина Анатольевна" r:id="rId8" minRId="56" max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2F4F3-A57A-4358-9345-A677B56CA1CB}" dateTime="2025-10-30T13:37:08" maxSheetId="22" userName="Цыганкова Ирина Анатольевна" r:id="rId9" min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AAA093B-6096-4D02-A27A-8CB01CCDDF46}" dateTime="2025-10-30T13:38:16" maxSheetId="22" userName="Цыганкова Ирина Анатольевна" r:id="rId10" min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8ED2FC-9D98-4FBF-A68C-84B888C26D44}" dateTime="2025-10-30T13:40:04" maxSheetId="22" userName="Цыганкова Ирина Анатольевна" r:id="rId11" minRId="60" maxRId="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D333F2D-23B3-40DC-AE70-4EC3511F86E7}" dateTime="2025-10-30T13:43:18" maxSheetId="22" userName="Цыганкова Ирина Анатольевна" r:id="rId12" minRId="6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003D529-189F-4A6F-B771-DE12C6215CB2}" dateTime="2025-10-30T13:45:43" maxSheetId="22" userName="Цыганкова Ирина Анатольевна" r:id="rId13" minRId="64" maxRId="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6988D3C-8558-440A-9001-AD4AE84E7B8E}" dateTime="2025-10-30T13:50:33" maxSheetId="22" userName="Цыганкова Ирина Анатольевна" r:id="rId14" minRId="67" maxRId="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1F0661A-0C5A-4BB6-95A1-6D82CC7B54F7}" dateTime="2025-10-30T13:54:54" maxSheetId="22" userName="Цыганкова Ирина Анатольевна" r:id="rId15" minRId="73" max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9F6C788-553F-4A2D-82EA-78F95AA6003C}" dateTime="2025-10-30T13:56:33" maxSheetId="22" userName="Цыганкова Ирина Анатольевна" r:id="rId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F70E0E-12C7-491A-A395-21D1B6BE6FCF}" dateTime="2025-10-30T13:58:39" maxSheetId="22" userName="Цыганкова Ирина Анатольевна" r:id="rId17" minRId="107" maxRId="1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E18D7-8FF3-4504-A835-69145E597E27}" dateTime="2025-10-30T13:58:46" maxSheetId="22" userName="Цыганкова Ирина Анатольевна" r:id="rId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816E36A-91C3-416E-8B0C-1FE83F30BFB5}" dateTime="2025-10-30T14:03:02" maxSheetId="22" userName="Цыганкова Ирина Анатольевна" r:id="rId19" minRId="116" maxRId="1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1E3D807-9883-4F2F-BB7B-B3D739766DE2}" dateTime="2025-11-05T13:34:29" maxSheetId="22" userName="Харченко Ольга Владимировна" r:id="rId20" minRId="120" maxRId="1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B50F26-47D8-4EFC-9A26-EF0D0986154B}" dateTime="2025-11-05T13:37:34" maxSheetId="22" userName="Харченко Ольга Владимировна" r:id="rId21" minRId="135" maxRId="15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8A9A9E3-15FC-47F2-862E-B1688DCEBB10}" dateTime="2025-11-05T13:38:49" maxSheetId="22" userName="Харченко Ольга Владимировна" r:id="rId22" minRId="154" maxRId="1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9DFEFB0-7428-496F-8CDF-5BAB2D046BBE}" dateTime="2025-11-05T13:44:31" maxSheetId="22" userName="Харченко Ольга Владимировна" r:id="rId23" minRId="168" maxRId="1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1092B1-4286-43CB-8F0B-F8AA05D9BACE}" dateTime="2025-11-05T13:50:00" maxSheetId="22" userName="Харченко Ольга Владимировна" r:id="rId24" minRId="173" max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A54B871-09C5-418B-9C3C-7FCE7F21CFA9}" dateTime="2025-11-05T13:52:30" maxSheetId="22" userName="Харченко Ольга Владимировна" r:id="rId25" minRId="186" maxRId="1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1254BE-3042-41E6-ADAF-F3572B761F24}" dateTime="2025-11-05T13:56:10" maxSheetId="22" userName="Харченко Ольга Владимировна" r:id="rId26" minRId="198" maxRId="2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CC7871-5C9F-45BD-A49F-875A92327B80}" dateTime="2025-11-05T14:07:31" maxSheetId="22" userName="Харченко Ольга Владимировна" r:id="rId27" minRId="201" max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621F895-282A-42EB-AFC5-DCE06433FB01}" dateTime="2025-11-05T14:08:31" maxSheetId="22" userName="Харченко Ольга Владимировна" r:id="rId28" minRId="2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F59A02-2999-4453-9906-140D5C2FDC6A}" dateTime="2025-11-05T14:10:13" maxSheetId="22" userName="Харченко Ольга Владимировна" r:id="rId29" minRId="206" max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EE9AED-746E-479F-8E51-B3F8F547D362}" dateTime="2025-11-05T14:16:38" maxSheetId="22" userName="Харченко Ольга Владимировна" r:id="rId30" minRId="210" maxRId="2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498DD61-53C0-44F1-8E7E-CF311812A0F9}" dateTime="2025-11-05T14:18:16" maxSheetId="22" userName="Харченко Ольга Владимировна" r:id="rId31" minRId="218" maxRId="2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9900DAD-FE60-4A59-97FF-C18FDB104094}" dateTime="2025-11-05T14:18:55" maxSheetId="22" userName="Харченко Ольга Владимировна" r:id="rId32" minRId="226" maxRId="2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1E11BF-D91A-42A5-82D8-43CD95444D57}" dateTime="2025-11-05T14:22:40" maxSheetId="22" userName="Харченко Ольга Владимировна" r:id="rId33" minRId="228" maxRId="2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CD4E449-6D25-43D3-9E34-375325C6D055}" dateTime="2025-11-05T14:25:55" maxSheetId="22" userName="Харченко Ольга Владимировна" r:id="rId34" minRId="241" maxRId="2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4A910A-D9EA-4DEA-BD59-2EE5B07F2FBF}" dateTime="2025-11-05T14:30:56" maxSheetId="22" userName="Харченко Ольга Владимировна" r:id="rId35" minRId="243" maxRId="2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F48D87-BB60-499E-A8C8-AB72D9DB9D87}" dateTime="2025-11-05T14:32:38" maxSheetId="22" userName="Харченко Ольга Владимировна" r:id="rId36" minRId="287" maxRId="3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A7C16B-D78D-421C-8000-84B7C78F2F0A}" dateTime="2025-11-05T14:35:44" maxSheetId="22" userName="Харченко Ольга Владимировна" r:id="rId37" minRId="312" maxRId="3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0D5F34-D45F-49A8-990C-619A27F4C3FB}" dateTime="2025-11-05T14:41:33" maxSheetId="22" userName="Харченко Ольга Владимировна" r:id="rId38" minRId="317" maxRId="32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37D675F-927A-4D27-BEC4-01D9F28BE1CC}" dateTime="2025-11-05T14:41:42" maxSheetId="22" userName="Харченко Ольга Владимировна" r:id="rId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448767A-64C7-4FCD-8101-D2E5F4E114F4}" dateTime="2025-11-05T14:48:54" maxSheetId="22" userName="Харченко Ольга Владимировна" r:id="rId40" minRId="324" maxRId="3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847D3C-4476-4D1F-8D98-267AC914A5D1}" dateTime="2025-11-05T14:56:50" maxSheetId="22" userName="Харченко Ольга Владимировна" r:id="rId41" minRId="328" maxRId="3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A8C46-2FBB-4D9E-B3EF-2F1FEC6A9EDC}" dateTime="2025-11-05T14:56:59" maxSheetId="22" userName="Харченко Ольга Владимировна" r:id="rId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EE967E-B050-47C3-840E-FCF8D94F09AB}" dateTime="2025-11-05T15:02:50" maxSheetId="22" userName="Харченко Ольга Владимировна" r:id="rId43" minRId="338" maxRId="3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5AA0BC1-CC98-40CF-89F2-3A89B966AB58}" dateTime="2025-11-05T15:04:35" maxSheetId="22" userName="Харченко Ольга Владимировна" r:id="rId44" minRId="34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6325EA8-5206-4434-9428-8A78B655547E}" dateTime="2025-11-05T15:07:23" maxSheetId="22" userName="Харченко Ольга Владимировна" r:id="rId45" minRId="342" maxRId="3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5851C49-2BA0-41EA-A5F9-DDEEAA97D6AC}" dateTime="2025-11-05T15:08:16" maxSheetId="22" userName="Тумачкова Екатерина Владимировна" r:id="rId46" minRId="345" maxRId="3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AE838D3-AE55-4646-9C5C-DA0629146D55}" dateTime="2025-11-05T15:08:23" maxSheetId="22" userName="Харченко Ольга Владимировна" r:id="rId47" minRId="3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B80B47-46E6-468B-BED8-8D7ED53A12DA}" dateTime="2025-11-05T15:12:59" maxSheetId="22" userName="Васильева Мария Сергеевна" r:id="rId48" minRId="385" maxRId="3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F7B7844-C002-42F6-B367-2C86D113F6AE}" dateTime="2025-11-05T15:22:18" maxSheetId="22" userName="Тумачкова Екатерина Владимировна" r:id="rId49" minRId="397" maxRId="40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F36790F-E5B7-4341-87AC-9FD6E01CA5E8}" dateTime="2025-11-05T16:00:48" maxSheetId="22" userName="Васильева Мария Сергеевна" r:id="rId50" minRId="403" maxRId="4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37195ED-40CF-4F68-ADD5-9D594B85B99D}" dateTime="2025-11-05T16:07:56" maxSheetId="22" userName="Васильева Мария Сергеевна" r:id="rId51" minRId="419" maxRId="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5061AA-9687-4EAC-95F1-114A9D06B13C}" dateTime="2025-11-05T16:23:36" maxSheetId="22" userName="Васильева Мария Сергеевна" r:id="rId52" minRId="427" maxRId="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E1C7490-7EFD-49E6-BE3C-0E51EC7F9168}" dateTime="2025-11-05T16:26:19" maxSheetId="22" userName="Васильева Мария Сергеевна" r:id="rId53" minRId="431" maxRId="43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A0AA725-8D8F-45B1-A45A-60AEC762D999}" dateTime="2025-11-05T17:08:11" maxSheetId="22" userName="Осинцева Татьяна Николаевна" r:id="rId54" minRId="433" maxRId="4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C19E03-9E39-450B-A2C0-A1CDFEE67851}" dateTime="2025-11-06T10:28:38" maxSheetId="22" userName="Епифанова Елена Валерьевна" r:id="rId55" minRId="441" maxRId="4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61D5086-0429-4F9D-8CD6-74C609C84377}" dateTime="2025-11-06T10:32:52" maxSheetId="22" userName="Епифанова Елена Валерьевна" r:id="rId56" minRId="464" maxRId="4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31D02BA-8906-4BF6-946A-F70842846B83}" dateTime="2025-11-06T11:32:25" maxSheetId="22" userName="Ларионов Сергей Александрович" r:id="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6096CD-16FE-4FBC-B952-29AE4A6BCBEF}" dateTime="2025-11-06T12:04:43" maxSheetId="22" userName="Ларионов Сергей Александрович" r:id="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6CCAAA4-9A09-42C1-81E2-47894D7FE917}" dateTime="2025-11-06T12:08:29" maxSheetId="22" userName="Ларионов Сергей Александрович" r:id="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AE00E97-0009-4E84-8C5D-B1651F126155}" dateTime="2025-11-06T12:09:22" maxSheetId="22" userName="Ларионов Сергей Александрович" r:id="rId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C3EFC4F-3646-4062-9012-C0354B0F60F5}" dateTime="2025-11-06T12:13:12" maxSheetId="22" userName="Ларионов Сергей Александрович" r:id="rId61" minRId="484" maxRId="4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DDC942-3C2A-4A27-9A07-05A0DB59C1C4}" dateTime="2025-11-06T12:17:07" maxSheetId="22" userName="Ларионов Сергей Александрович" r:id="rId62" minRId="4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AE0279-1D6C-4F0E-B55A-6F7914B79AFC}" dateTime="2025-11-06T12:17:52" maxSheetId="22" userName="Ларионов Сергей Александрович" r:id="rId63" minRId="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D5639F-D105-4BE1-B0AD-9D8DC535B200}" dateTime="2025-11-06T12:20:50" maxSheetId="22" userName="Ларионов Сергей Александрович" r:id="rId64" minRId="489" maxRId="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32C4035-8C01-46BD-9617-B647103A43FF}" dateTime="2025-11-06T12:23:43" maxSheetId="22" userName="Ларионов Сергей Александрович" r:id="rId65" minRId="491" maxRId="4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C55A37-12DD-4344-8425-14CFECC6ED61}" dateTime="2025-11-06T12:27:28" maxSheetId="22" userName="Ларионов Сергей Александрович" r:id="rId66" minRId="496" maxRId="5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2A8BF1-42A2-471E-ABC0-B88852FA80AB}" dateTime="2025-11-06T12:28:49" maxSheetId="22" userName="Ларионов Сергей Александрович" r:id="rId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763760-C798-4B3E-BB2B-5735039C554A}" dateTime="2025-11-06T12:32:03" maxSheetId="22" userName="Ларионов Сергей Александрович" r:id="rId68" minRId="501" maxRId="5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C4A12BD-490E-42E3-8F82-22157612C1CC}" dateTime="2025-11-06T14:14:31" maxSheetId="22" userName="Хазиева Татьяна Михайловна" r:id="rId69" minRId="505" maxRId="5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BA05A5B-5BB0-4937-B13A-A92B603AD4C4}" dateTime="2025-11-06T14:19:22" maxSheetId="22" userName="Хазиева Татьяна Михайловна" r:id="rId70" minRId="516" maxRId="5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95D48B1-B5E5-448A-8894-32ED1DDC2549}" dateTime="2025-11-06T14:20:01" maxSheetId="22" userName="Хазиева Татьяна Михайловна" r:id="rId71" minRId="5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7E3118B-8CFA-4103-BB1A-1B0FC8E1AAB6}" dateTime="2025-11-06T14:25:04" maxSheetId="22" userName="Хазиева Татьяна Михайловна" r:id="rId72" minRId="537" maxRId="5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A0B607-1547-49CD-949A-78ADD563A200}" dateTime="2025-11-06T14:32:37" maxSheetId="22" userName="Хазиева Татьяна Михайловна" r:id="rId73" minRId="541" maxRId="5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51C5BBC-CF2B-4E94-8E20-30937767391A}" dateTime="2025-11-06T14:48:35" maxSheetId="22" userName="Ларионов Сергей Александрович" r:id="rId74" minRId="5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501046-FF8E-4B86-8748-CD9228709B51}" dateTime="2025-11-06T14:56:49" maxSheetId="22" userName="Ларионов Сергей Александрович" r:id="rId75" minRId="5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9CFFC0-7D55-4DFF-8A0D-1596CCBEDE7D}" dateTime="2025-11-06T15:01:19" maxSheetId="22" userName="Ларионов Сергей Александрович" r:id="rId76" minRId="547" maxRId="55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8644EA7-E43E-4FCE-A333-A555EE906DB6}" dateTime="2025-11-06T15:02:22" maxSheetId="22" userName="Ларионов Сергей Александрович" r:id="rId7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51124E9-45F2-45D7-85AD-C97812A640ED}" dateTime="2025-11-06T15:04:04" maxSheetId="22" userName="Ларионов Сергей Александрович" r:id="rId78" minRId="559" maxRId="5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C3EE4E-B1D2-4D01-86CA-FFE20DAAFEE2}" dateTime="2025-11-06T15:04:31" maxSheetId="22" userName="Ларионов Сергей Александрович" r:id="rId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2725FA-AAF8-48DA-BC76-D705C6973606}" dateTime="2025-11-06T15:04:51" maxSheetId="22" userName="Ларионов Сергей Александрович" r:id="rId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0F883D-790D-4B22-9DBA-C85DEAB817A8}" dateTime="2025-11-06T15:07:23" maxSheetId="22" userName="Ларионов Сергей Александрович" r:id="rId81" minRId="561" maxRId="5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322D9E-F0E5-4140-B4E1-3A5EEF727233}" dateTime="2025-11-06T15:08:57" maxSheetId="22" userName="Ларионов Сергей Александрович" r:id="rId82" minRId="566" maxRId="5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145FA77-ECAF-48AF-8D3C-117DB8FA27C0}" dateTime="2025-11-06T15:12:26" maxSheetId="22" userName="Ларионов Сергей Александрович" r:id="rId83" minRId="570" maxRId="5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208454-A594-42B5-B5B0-C6AC8E9BFF67}" dateTime="2025-11-06T15:16:21" maxSheetId="22" userName="Ларионов Сергей Александрович" r:id="rId84" minRId="5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C684D01-E718-4802-92A5-57E1B09114A7}" dateTime="2025-11-06T15:30:20" maxSheetId="22" userName="Ларионов Сергей Александрович" r:id="rId85" minRId="581" maxRId="5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20ED9A-639F-4601-853A-1226ED9DE492}" dateTime="2025-11-06T15:33:07" maxSheetId="22" userName="Ларионов Сергей Александрович" r:id="rId86" minRId="591" maxRId="6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BB9856-94D6-4CCF-A882-D13C80E07C40}" dateTime="2025-11-06T15:46:08" maxSheetId="22" userName="Хазиева Татьяна Михайловна" r:id="rId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1F7579-B469-45E9-9BFB-1994A7767F32}" dateTime="2025-11-06T15:58:17" maxSheetId="22" userName="Осинцева Татьяна Николаевна" r:id="rId88" minRId="601" maxRId="6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C6D5C7C-08A1-4557-8E45-8E1B7785BA76}" dateTime="2025-11-06T16:00:06" maxSheetId="22" userName="Степаненко Наталья Алексеевна" r:id="rId89" minRId="608" maxRId="6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A9DB2A-6ED2-4AAC-9880-587A773D2070}" dateTime="2025-11-06T16:02:23" maxSheetId="22" userName="Осинцева Татьяна Николаевна" r:id="rId90" minRId="644" maxRId="6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7B773E-D11C-4236-A04B-CF58EB780F68}" dateTime="2025-11-06T16:17:13" maxSheetId="22" userName="Ларионов Сергей Александрович" r:id="rId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2022455-C2EE-4892-B8DE-06BA66BAE6D1}" dateTime="2025-11-06T16:18:01" maxSheetId="22" userName="Ларионов Сергей Александрович" r:id="rId92" minRId="663" maxRId="6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6C8FD50-E35F-4287-8310-7E28232D9A5E}" dateTime="2025-11-06T16:20:24" maxSheetId="22" userName="Ларионов Сергей Александрович" r:id="rId93" minRId="6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B019BED-F47A-46D2-A475-F22CAB909F3A}" dateTime="2025-11-06T16:22:36" maxSheetId="22" userName="Ларионов Сергей Александрович" r:id="rId9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3B1B0A-87EA-4839-BC7B-5D51133673CE}" dateTime="2025-11-06T16:25:50" maxSheetId="22" userName="Ларионов Сергей Александрович" r:id="rId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06E9CA-5322-48A9-B170-3576E72F9C56}" dateTime="2025-11-06T16:27:10" maxSheetId="22" userName="Ларионов Сергей Александрович" r:id="rId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AF9854B-7377-4ADE-AD46-6C1BB8B04E87}" dateTime="2025-11-06T16:28:53" maxSheetId="22" userName="Ларионов Сергей Александрович" r:id="rId97" minRId="6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7C11975-6F52-4595-AF0E-71C52160CEFE}" dateTime="2025-11-06T16:31:23" maxSheetId="22" userName="Ларионов Сергей Александрович" r:id="rId98" minRId="66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9924D2-6F5D-47AA-83A0-D352F32CFC6E}" dateTime="2025-11-06T16:38:34" maxSheetId="22" userName="Ларионов Сергей Александрович" r:id="rId99" minRId="669" maxRId="6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400BF5E-0F0D-4F1E-BE76-8DB18CA412F9}" dateTime="2025-11-06T16:40:00" maxSheetId="22" userName="Ларионов Сергей Александрович" r:id="rId1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AEF6724-85A6-4F33-A12D-C0585E589849}" dateTime="2025-11-06T16:41:39" maxSheetId="22" userName="Ларионов Сергей Александрович" r:id="rId101" minRId="6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1D844C2-8800-4005-8121-A51842A3C7A5}" dateTime="2025-11-06T16:42:52" maxSheetId="22" userName="Ларионов Сергей Александрович" r:id="rId102" minRId="6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A111F6-F372-4747-9F88-CC0AEF508E56}" dateTime="2025-11-06T16:43:25" maxSheetId="22" userName="Ларионов Сергей Александрович" r:id="rId1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7D7673-90DB-4D08-8982-EDF742F8E782}" dateTime="2025-11-06T16:44:39" maxSheetId="22" userName="Ларионов Сергей Александрович" r:id="rId1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82A03F1-C7AC-4D5A-988B-4A8FF1967238}" dateTime="2025-11-06T16:48:16" maxSheetId="22" userName="Осинцева Татьяна Николаевна" r:id="rId1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F0216B-CB3B-49B7-A6FE-E03E75554AA1}" dateTime="2025-11-06T16:50:57" maxSheetId="22" userName="Ларионов Сергей Александрович" r:id="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4E2BCBE-DE0E-4C89-AB07-92066ED6D3BF}" dateTime="2025-11-06T16:54:41" maxSheetId="22" userName="Ларионов Сергей Александрович" r:id="rId1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D10807-9B47-4180-A7B8-4EE847F49790}" dateTime="2025-11-06T17:04:21" maxSheetId="22" userName="Хазиева Татьяна Михайловна" r:id="rId108" minRId="6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33F5A1-591C-4B74-8F2B-DD70C4F742C6}" dateTime="2025-11-06T17:11:39" maxSheetId="22" userName="Хазиева Татьяна Михайловна" r:id="rId109" minRId="699" maxRId="7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10DE7D5-C5D8-4DB4-9E41-F1E573070EF3}" dateTime="2025-11-06T17:14:17" maxSheetId="22" userName="Хазиева Татьяна Михайловна" r:id="rId11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73D9E6D-28A3-4193-AAE1-2A438300E53A}" dateTime="2025-11-06T17:30:09" maxSheetId="22" userName="Ларионов Сергей Александрович" r:id="rId1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5ADC25-C72B-4ABB-8120-4B62EA099326}" dateTime="2025-11-06T17:37:45" maxSheetId="22" userName="Ларионов Сергей Александрович" r:id="rId112" minRId="7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2E8D9AD-74D3-409C-A18B-8F08D59B4CEC}" dateTime="2025-11-06T17:39:14" maxSheetId="22" userName="Ларионов Сергей Александрович" r:id="rId113" minRId="74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40EE35-974F-4D69-80C1-7003FC5754D5}" dateTime="2025-11-06T17:49:14" maxSheetId="22" userName="Ларионов Сергей Александрович" r:id="rId114" minRId="758" maxRId="7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BE5349-512F-4C11-8C6F-64C289C7B298}" dateTime="2025-11-06T17:50:59" maxSheetId="22" userName="Ларионов Сергей Александрович" r:id="rId115" minRId="7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7D0D87-9F52-4041-8CA9-C47417BD1E17}" dateTime="2025-11-07T10:59:03" maxSheetId="22" userName="Ларионов Сергей Александрович" r:id="rId116" minRId="7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5EDCC7-5F50-48F2-8685-10EB6BDAD283}" dateTime="2025-11-07T11:02:50" maxSheetId="22" userName="Ларионов Сергей Александрович" r:id="rId1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49FC92-D123-4046-9709-01B88D1A8DB9}" dateTime="2025-11-07T11:11:08" maxSheetId="22" userName="Ларионов Сергей Александрович" r:id="rId1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35DA95-B95A-47F8-8597-B0500FE61922}" dateTime="2025-11-07T18:00:21" maxSheetId="22" userName="Подворчан Оксана" r:id="rId119" minRId="796" maxRId="8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8DCD97-2E51-45CB-B575-FF639C95239E}" dateTime="2025-11-09T15:24:43" maxSheetId="22" userName="Подворчан Оксана" r:id="rId120" minRId="814" maxRId="8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36F00B-44FE-47E2-A5CF-B76C62798DE9}" dateTime="2025-11-10T10:13:41" maxSheetId="22" userName="Игошкина Марина Юрьевна" r:id="rId121" minRId="849" maxRId="10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CC075B1-5080-4D2B-863F-7717C2B64935}" dateTime="2025-11-10T10:17:23" maxSheetId="22" userName="Игошкина Марина Юрьевна" r:id="rId122" minRId="1024" maxRId="10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4797D5-4153-43A7-ABD4-037362E143F0}" dateTime="2025-11-10T10:31:38" maxSheetId="22" userName="Игошкина Марина Юрьевна" r:id="rId123" minRId="1039" maxRId="104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68C97A-0408-484F-8FC6-235051806C1C}" dateTime="2025-11-10T10:37:42" maxSheetId="22" userName="Игошкина Марина Юрьевна" r:id="rId124" minRId="1052" maxRId="105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44F10D8-6441-4BCF-9966-6C6ACDAB5D58}" dateTime="2025-11-10T11:02:10" maxSheetId="22" userName="Шамерзоева Татьяна Федоровна" r:id="rId125" minRId="1065" maxRId="10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9E445F-83FD-4898-AF84-090E7B77EE32}" dateTime="2025-11-10T14:50:02" maxSheetId="22" userName="Лукманова Эльвира Наильевна" r:id="rId126" minRId="1078" maxRId="10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D942B41-C934-41D7-A188-F66DEE0FB4D6}" dateTime="2025-11-10T15:03:06" maxSheetId="22" userName="Лукманова Эльвира Наильевна" r:id="rId127" minRId="1089" maxRId="10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5FB8E76-783F-44A6-AE45-F167B6E3517D}" dateTime="2025-11-10T15:24:13" maxSheetId="22" userName="Лукманова Эльвира Наильевна" r:id="rId128" minRId="1091" maxRId="10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6CD5A48-CFE1-4DA3-A4E1-400499C14AE3}" dateTime="2025-11-10T16:07:35" maxSheetId="22" userName="Тихонова Лариса Анатольевна" r:id="rId129" minRId="1098" maxRId="11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75A9F98-B7E7-4FEC-BF29-BE658FD53D11}" dateTime="2025-11-10T16:56:45" maxSheetId="22" userName="Лукманова Эльвира Наильевна" r:id="rId1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1B9D35-40BC-44B1-B30F-4043E1B730CB}" dateTime="2025-11-13T10:46:23" maxSheetId="22" userName="Лукманова Эльвира Наильевна" r:id="rId1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02E1EE6-C530-45B3-AFA1-53C3AEB69F1F}" dateTime="2025-11-13T10:48:25" maxSheetId="22" userName="Лукманова Эльвира Наильевна" r:id="rId132" minRId="11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A2DE5BA-D8B5-4B58-B39A-FEC8EA183476}" dateTime="2025-11-13T10:49:01" maxSheetId="22" userName="Лукманова Эльвира Наильевна" r:id="rId13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75F094C-8F08-4B03-BC2A-761F81CCC276}" dateTime="2025-11-13T10:49:18" maxSheetId="22" userName="Лукманова Эльвира Наильевна" r:id="rId134" minRId="113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BC98F9-69EA-4DA2-8CE7-A43CDB9AB79F}" dateTime="2025-11-13T10:51:01" maxSheetId="22" userName="Лукманова Эльвира Наильевна" r:id="rId135" minRId="1135" maxRId="113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B454E37-7713-45EA-A913-EA2051402D18}" dateTime="2025-11-13T10:51:48" maxSheetId="22" userName="Лукманова Эльвира Наильевна" r:id="rId136" minRId="11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A8D6BF0-FE10-4C16-B960-8265AFAA4A7F}" dateTime="2025-11-13T10:52:09" maxSheetId="22" userName="Лукманова Эльвира Наильевна" r:id="rId137" minRId="1138" maxRId="11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t>
        </r>
      </is>
    </oc>
    <nc r="AH13" t="inlineStr">
      <is>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is>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I27" start="0" length="2147483647">
    <dxf>
      <font>
        <color rgb="FFFF0000"/>
      </font>
    </dxf>
  </rfmt>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D25" start="0" length="2147483647">
    <dxf>
      <font>
        <color auto="1"/>
      </font>
    </dxf>
  </rfmt>
  <rcc rId="672" sId="11">
    <oc r="E25">
      <f>J25+L25+N25+P25+R25</f>
    </oc>
    <nc r="E25">
      <f>J25+L25+N25+P25+R25+T25+V25+X25+Z25+AB25</f>
    </nc>
  </rcc>
  <rfmt sheetId="11" sqref="E24:E25" start="0" length="2147483647">
    <dxf>
      <font>
        <color auto="1"/>
      </font>
    </dxf>
  </rfmt>
  <rfmt sheetId="11" sqref="F24:I25" start="0" length="2147483647">
    <dxf>
      <font>
        <color auto="1"/>
      </font>
    </dxf>
  </rfmt>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6:D27" start="0" length="2147483647">
    <dxf>
      <font>
        <color auto="1"/>
      </font>
    </dxf>
  </rfmt>
  <rcc rId="673" sId="11">
    <oc r="E27">
      <f>J27+L27+N27+P27+R27</f>
    </oc>
    <nc r="E27">
      <f>J27+L27+N27+P27+R27+T27+V27+X27+Z27+AB27</f>
    </nc>
  </rcc>
  <rfmt sheetId="11" sqref="E26:E27" start="0" length="2147483647">
    <dxf>
      <font>
        <color auto="1"/>
      </font>
    </dxf>
  </rfmt>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26:I27" start="0" length="2147483647">
    <dxf>
      <font>
        <color auto="1"/>
      </font>
    </dxf>
  </rfmt>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8:AI27" start="0" length="2147483647">
    <dxf>
      <font>
        <color rgb="FFFF0000"/>
      </font>
    </dxf>
  </rfmt>
  <rfmt sheetId="11" sqref="AI24:AI27" start="0" length="2147483647">
    <dxf>
      <font>
        <sz val="12"/>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E6" start="0" length="2147483647">
    <dxf>
      <font>
        <color rgb="FFFF0000"/>
      </font>
    </dxf>
  </rfmt>
  <rfmt sheetId="11" sqref="G6" start="0" length="2147483647">
    <dxf>
      <font>
        <color rgb="FFFF0000"/>
      </font>
    </dxf>
  </rfmt>
  <rfmt sheetId="11" sqref="AI8" start="0" length="2147483647">
    <dxf>
      <font>
        <color auto="1"/>
      </font>
    </dxf>
  </rfmt>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9" start="0" length="2147483647">
    <dxf>
      <font>
        <color auto="1"/>
      </font>
    </dxf>
  </rfmt>
  <rfmt sheetId="11" sqref="AI11:AI12" start="0" length="2147483647">
    <dxf>
      <font>
        <color auto="1"/>
      </font>
    </dxf>
  </rfmt>
  <rfmt sheetId="11" sqref="AI13:AI14" start="0" length="2147483647">
    <dxf>
      <font>
        <color auto="1"/>
      </font>
    </dxf>
  </rfmt>
  <rfmt sheetId="11" sqref="AI15:AI16" start="0" length="2147483647">
    <dxf>
      <font>
        <color auto="1"/>
      </font>
    </dxf>
  </rfmt>
  <rfmt sheetId="11" sqref="AI17:AI18" start="0" length="2147483647">
    <dxf>
      <font>
        <color auto="1"/>
      </font>
    </dxf>
  </rfmt>
  <rfmt sheetId="11" sqref="AI19:AI20" start="0" length="2147483647">
    <dxf>
      <font>
        <color auto="1"/>
      </font>
    </dxf>
  </rfmt>
  <rfmt sheetId="11" sqref="AI21:AI22" start="0" length="2147483647">
    <dxf>
      <font>
        <color auto="1"/>
      </font>
    </dxf>
  </rfmt>
  <rfmt sheetId="11" sqref="AI24:AI25" start="0" length="2147483647">
    <dxf>
      <font>
        <color auto="1"/>
      </font>
    </dxf>
  </rfmt>
  <rfmt sheetId="11" sqref="AI26:AI27" start="0" length="2147483647">
    <dxf>
      <font>
        <color auto="1"/>
      </font>
    </dxf>
  </rfmt>
  <rfmt sheetId="11" sqref="E6" start="0" length="2147483647">
    <dxf>
      <font>
        <color auto="1"/>
      </font>
    </dxf>
  </rfmt>
  <rfmt sheetId="11" sqref="G6" start="0" length="2147483647">
    <dxf>
      <font>
        <color auto="1"/>
      </font>
    </dxf>
  </rfmt>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0"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9" sId="10">
    <oc r="E14">
      <f>J14+L14+N14+P14+R14+T14+V14+X14</f>
    </oc>
    <nc r="E14">
      <f>J14+L14+N14+P14+R14+T14+V14+X14+Z14+AB14+AD14</f>
    </nc>
  </rcc>
  <rcc rId="700" sId="10">
    <oc r="E15">
      <f>J15+L15+N15+P15+R15+T15+V15+X15</f>
    </oc>
    <nc r="E15">
      <f>J15+L15+N15+P15+R15+T15+V15+X15+Z15+AB15+AD15</f>
    </nc>
  </rcc>
  <rcc rId="701" sId="10">
    <oc r="E17">
      <f>J17+L17+N17+P17+R17+T17+V17+X17</f>
    </oc>
    <nc r="E17">
      <f>J17+L17+N17+P17+R17+T17+V17+X17+Z17+AB17</f>
    </nc>
  </rcc>
  <rcc rId="702" sId="10">
    <oc r="E19">
      <f>J19+L19+N19+P19+R19</f>
    </oc>
    <nc r="E19">
      <f>J19+L19+N19+P19+R19+T19+V19+X19+Z19+AB19</f>
    </nc>
  </rcc>
  <rcc rId="703" sId="10">
    <oc r="E20">
      <f>J20+L20+N20+P20+R20</f>
    </oc>
    <nc r="E20">
      <f>J20+L20+N20+P20+R20+T20+V20+X20+Z20+AB20</f>
    </nc>
  </rcc>
  <rcc rId="704" sId="10">
    <oc r="E18">
      <f>E19+E20</f>
    </oc>
    <nc r="E18">
      <f>E19+E20</f>
    </nc>
  </rcc>
  <rcc rId="705" sId="10">
    <oc r="E22">
      <f>J22+L22+N22+P22+R22</f>
    </oc>
    <nc r="E22">
      <f>J22+L22+N22+P22+R22+T22+V22+X22+Z22+AB22</f>
    </nc>
  </rcc>
  <rcc rId="706" sId="10">
    <oc r="E24">
      <f>J24+L24+N24+P24+R24+T24+V24+X24</f>
    </oc>
    <nc r="E24">
      <f>J24+L24+N24+P24+R24+T24+V24+X24+Z24+AB24</f>
    </nc>
  </rcc>
  <rcc rId="707" sId="10">
    <oc r="E26">
      <f>J26+L26+N26+P26+R26+T26+V26+X26</f>
    </oc>
    <nc r="E26">
      <f>J26+L26+N26+P26+R26+T26+V26+X26+Z26+AB26</f>
    </nc>
  </rcc>
  <rcc rId="708" sId="10">
    <oc r="E29">
      <f>J29+L29+N29+P29+R29+T29+V29+X29+Z29</f>
    </oc>
    <nc r="E29">
      <f>J29+L29+N29+P29+R29+T29+V29+X29+Z29+AB29+AD29</f>
    </nc>
  </rcc>
  <rcc rId="709" sId="10">
    <oc r="E31">
      <f>J31+L31+N31+P31+R31+T31+V31+X31</f>
    </oc>
    <nc r="E31">
      <f>J31+L31+N31+P31+R31+T31+V31+X31+Z31+AB31</f>
    </nc>
  </rcc>
  <rcc rId="710" sId="10">
    <oc r="E33">
      <f>J33+L33+N33+P33+R33+T33+V33+X33</f>
    </oc>
    <nc r="E33">
      <f>J33+L33+N33+P33+R33+T33+V33+X33+Z33+AB33</f>
    </nc>
  </rcc>
  <rcc rId="711" sId="10">
    <oc r="E35">
      <f>J35+L35+N35+P35+R35+T35+V35+X35</f>
    </oc>
    <nc r="E35">
      <f>J35+L35+N35+P35+R35+T35+V35+X35+Z35+AB35</f>
    </nc>
  </rcc>
  <rcc rId="712" sId="10">
    <oc r="E38">
      <f>J38+L38+N38+P38+R38+T38+V38+X38</f>
    </oc>
    <nc r="E38">
      <f>J38+L38+N38+P38+R38+T38+V38+X38+Z38+AB38</f>
    </nc>
  </rcc>
  <rcc rId="713" sId="10">
    <oc r="E11">
      <f>J11+L11+N11+P11+R11+T11+V11+X11</f>
    </oc>
    <nc r="E11">
      <f>J11+L11+N11+P11+R11+T11+V11+X11+Z11+AB11</f>
    </nc>
  </rcc>
  <rcc rId="714" sId="10">
    <oc r="E10">
      <f>J10+L10+N10+P10+R10+T10+V10+X10</f>
    </oc>
    <nc r="E10">
      <f>J10+L10+N10+P10+R10+T10+V10+X10+Z10+AB10</f>
    </nc>
  </rcc>
  <rcc rId="715" sId="10">
    <oc r="E9">
      <f>J9+P9+N9+L9+R9+T9+V9+X9+Z9</f>
    </oc>
    <nc r="E9">
      <f>J9+P9+N9+L9+R9+T9+V9+X9+Z9+AB9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60" sId="8" numFmtId="4">
    <oc r="Y31">
      <v>0</v>
    </oc>
    <nc r="Y31">
      <v>2317.4699999999998</v>
    </nc>
  </rcc>
  <rcc rId="61" sId="8" numFmtId="4">
    <oc r="Y32">
      <v>0</v>
    </oc>
    <nc r="Y32">
      <v>229.2</v>
    </nc>
  </rcc>
  <rcc rId="62" sId="8">
    <oc r="AH30" t="inlineStr">
      <is>
        <r>
          <t xml:space="preserve">УпоЖП:
</t>
        </r>
        <r>
          <rPr>
            <sz val="12"/>
            <rFont val="Times New Roman"/>
            <family val="1"/>
            <charset val="204"/>
          </rPr>
          <t xml:space="preserve">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nc>
  </rcc>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0" sId="11">
    <nc r="AH24" t="inlineStr">
      <is>
        <t>Экономия по заработной плате и начисление на оплату труда (наличие вакансии, листов временной нетрудоспособности)</t>
      </is>
    </nc>
  </rcc>
  <rfmt sheetId="11" sqref="AH24" start="0" length="2147483647">
    <dxf>
      <font>
        <b val="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9" sId="11">
    <nc r="AH19" t="inlineStr">
      <is>
        <t>Экономия образовалась по результатам конкурсных процедур</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8" sId="11" xfDxf="1" s="1" dxf="1">
    <nc r="AH13" t="inlineStr">
      <is>
        <t>Экономия образовалась по результатам конкурсных процедур</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759" sId="11">
    <nc r="AH15" t="inlineStr">
      <is>
        <t>Экономия образовалась по результатам конкурсных процедур</t>
      </is>
    </nc>
  </rcc>
  <rcc rId="760" sId="11" xfDxf="1" s="1" dxf="1">
    <nc r="AH21" t="inlineStr">
      <is>
        <t>Экономия образовалась по результатам конкурсных процедур</t>
      </is>
    </nc>
    <ndxf>
      <font>
        <b val="0"/>
        <i val="0"/>
        <strike val="0"/>
        <condense val="0"/>
        <extend val="0"/>
        <outline val="0"/>
        <shadow val="0"/>
        <u val="none"/>
        <vertAlign val="baseline"/>
        <sz val="12"/>
        <color rgb="FFFF0000"/>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1" sqref="AH21" start="0" length="2147483647">
    <dxf>
      <font>
        <color auto="1"/>
      </font>
    </dxf>
  </rfmt>
  <rcc rId="761" sId="11">
    <oc r="AH19" t="inlineStr">
      <is>
        <t>Экономия образовалась по результатам конкурсных процедур</t>
      </is>
    </oc>
    <nc r="AH19" t="inlineStr">
      <is>
        <t>Экономия образовалась после изучения рынка (заключен контракт с единственным поставщиком)</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0" sId="11">
    <oc r="AH19" t="inlineStr">
      <is>
        <t>Экономия образовалась после изучения рынка (заключен контракт с единственным поставщиком)</t>
      </is>
    </oc>
    <nc r="AH19"/>
  </rcc>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H26" start="0" length="2147483647">
    <dxf>
      <font>
        <b val="0"/>
      </font>
    </dxf>
  </rfmt>
  <rfmt sheetId="11" xfDxf="1" s="1" sqref="AH2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771" sId="11">
    <nc r="AH26" t="inlineStr">
      <is>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6" sId="16" numFmtId="4">
    <nc r="AC26">
      <v>144.67500000000001</v>
    </nc>
  </rcc>
  <rcc rId="797" sId="16">
    <oc r="F27">
      <f>K27+M27+O27+Q27+S27+U27+W27+Y27+AA27</f>
    </oc>
    <nc r="F27">
      <f>K27+M27+O27+Q27+S27+U27+W27+Y27+AA27+AC27+AE27+AG27</f>
    </nc>
  </rcc>
  <rcc rId="798" sId="16">
    <oc r="F26">
      <f>K26+M26+O26+Q26+S26+U26+W26+Y26+AA26</f>
    </oc>
    <nc r="F26">
      <f>K26+M26+O26+Q26+S26+U26+W26+Y26+AA26+AC26+AE26+AG26</f>
    </nc>
  </rcc>
  <rcc rId="799" sId="16" numFmtId="4">
    <oc r="AC37">
      <v>0</v>
    </oc>
    <nc r="AC37">
      <v>104.6</v>
    </nc>
  </rcc>
  <rcc rId="800" sId="16" numFmtId="4">
    <oc r="AC41">
      <v>0</v>
    </oc>
    <nc r="AC41">
      <v>49.55</v>
    </nc>
  </rcc>
  <rcc rId="801" sId="16">
    <oc r="E37">
      <f>J37+L37+N37+P37+R37+T37+V37+X37+Z37</f>
    </oc>
    <nc r="E37">
      <f>J37+L37+N37+P37+R37+T37+V37+X37+Z37+AB37</f>
    </nc>
  </rcc>
  <rcc rId="802" sId="16">
    <oc r="F36">
      <f>F37</f>
    </oc>
    <nc r="F36">
      <f>F37</f>
    </nc>
  </rcc>
  <rcc rId="803" sId="16" numFmtId="4">
    <oc r="AC45">
      <v>0</v>
    </oc>
    <nc r="AC45">
      <v>3970.3609999999999</v>
    </nc>
  </rcc>
  <rcc rId="804" sId="16">
    <oc r="F45">
      <f>K45+M45+O45+Q45+S45+U45+W45+Y45+AA45</f>
    </oc>
    <nc r="F45">
      <f>K45+M45+O45+Q45+S45+U45+W45+Y45+AA45+AC45+AE45+AG45</f>
    </nc>
  </rcc>
  <rcc rId="805" sId="16">
    <oc r="E45">
      <f>J45+L45+N45+P45+R45+T45+V45+X45+Z45</f>
    </oc>
    <nc r="E45">
      <f>J45+L45+N45+P45+R45+T45+V45+X45+Z45+AB45</f>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fmt sheetId="8" sqref="B7" start="0" length="2147483647">
    <dxf>
      <font>
        <color auto="1"/>
      </font>
    </dxf>
  </rfmt>
  <rfmt sheetId="8" sqref="B38:B39" start="0" length="2147483647">
    <dxf>
      <font>
        <color auto="1"/>
      </font>
    </dxf>
  </rfmt>
  <rfmt sheetId="8" sqref="B40:B41" start="0" length="2147483647">
    <dxf>
      <font>
        <color auto="1"/>
      </font>
    </dxf>
  </rfmt>
  <rfmt sheetId="8" sqref="B45:B47" start="0" length="2147483647">
    <dxf>
      <font>
        <color auto="1"/>
      </font>
    </dxf>
  </rfmt>
  <rfmt sheetId="8" sqref="B42:B44" start="0" length="2147483647">
    <dxf>
      <font>
        <color auto="1"/>
      </font>
    </dxf>
  </rfmt>
  <rcc rId="63" sId="8" numFmtId="4">
    <oc r="Y54">
      <v>0</v>
    </oc>
    <nc r="Y54">
      <v>1180.17</v>
    </nc>
  </rcc>
  <rfmt sheetId="8" sqref="B53:B54" start="0" length="2147483647">
    <dxf>
      <font>
        <color auto="1"/>
      </font>
    </dxf>
  </rfmt>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I45:AF45">
    <dxf>
      <fill>
        <patternFill>
          <bgColor rgb="FFFFC000"/>
        </patternFill>
      </fill>
    </dxf>
  </rfmt>
  <rfmt sheetId="16" sqref="I45:AF45">
    <dxf>
      <fill>
        <patternFill patternType="none">
          <bgColor auto="1"/>
        </patternFill>
      </fill>
    </dxf>
  </rfmt>
  <rcc rId="814" sId="16">
    <oc r="E59">
      <f>J59+L59+N59+P59+R59+T59+V59+X59+Z59</f>
    </oc>
    <nc r="E59">
      <f>J59+L59+N59+P59+R59+T59+V59+X59+Z59+AB59</f>
    </nc>
  </rcc>
  <rcc rId="815" sId="16">
    <oc r="F59">
      <f>G59</f>
    </oc>
    <nc r="F59">
      <f>K59+M59+O59+Q59+S59+U59+W59+Y59+AA59+AC59</f>
    </nc>
  </rcc>
  <rcc rId="816" sId="16" numFmtId="4">
    <oc r="AC59">
      <v>0</v>
    </oc>
    <nc r="AC59">
      <v>257.16000000000003</v>
    </nc>
  </rcc>
  <rcc rId="817" sId="16">
    <oc r="AH58" t="inlineStr">
      <is>
        <t>Экономия в сумме 300,71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is>
    </nc>
  </rcc>
  <rcc rId="818" sId="16">
    <oc r="E57">
      <f>J57+L57+N57+P57+R57+T57+V57+X57+Z57</f>
    </oc>
    <nc r="E57">
      <f>J57+L57+N57+P57+R57+T57+V57+X57+Z57+AB57</f>
    </nc>
  </rcc>
  <rcc rId="819" sId="16">
    <oc r="F57">
      <f>G57</f>
    </oc>
    <nc r="F57">
      <f>K57+M57+O57+Q57+S57+U57+W57+Y57+AA57+AC57</f>
    </nc>
  </rcc>
  <rcc rId="820" sId="16" numFmtId="4">
    <oc r="AC57">
      <v>0</v>
    </oc>
    <nc r="AC57">
      <v>540.21900000000005</v>
    </nc>
  </rcc>
  <rcc rId="821" sId="16">
    <oc r="AH56" t="inlineStr">
      <is>
        <t xml:space="preserve">Экономия сложилась в сумме  657,29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cc rId="822" sId="16">
    <oc r="E61">
      <f>J61+L61+N61+P61+R61+T61+V61+X61+Z61</f>
    </oc>
    <nc r="E61">
      <f>J61+L61+N61+P61+R61+T61+V61+X61+Z61+AB61</f>
    </nc>
  </rcc>
  <rcc rId="823" sId="16">
    <oc r="F61">
      <f>G61</f>
    </oc>
    <nc r="F61">
      <f>K61+M61+O61+Q61+S61+U61+W61+Y61+AA61+AC61</f>
    </nc>
  </rcc>
  <rcc rId="824" sId="16" numFmtId="4">
    <oc r="AC61">
      <v>0</v>
    </oc>
    <nc r="AC61">
      <v>1450.9259999999999</v>
    </nc>
  </rcc>
  <rcc rId="825" sId="16">
    <oc r="AH60" t="inlineStr">
      <is>
        <t>Экономия в сумме 1261,18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rcc>
  <rcc rId="826" sId="16">
    <oc r="E9">
      <f>J9+L9+N9+P9+R9+T9+V9+X9+Z9</f>
    </oc>
    <nc r="E9">
      <f>J9+L9+N9+P9+R9+T9+V9+X9+Z9+AB9</f>
    </nc>
  </rcc>
  <rcc rId="827" sId="16">
    <oc r="F9">
      <f>G9</f>
    </oc>
    <nc r="F9">
      <f>G9</f>
    </nc>
  </rcc>
  <rcc rId="828" sId="16">
    <oc r="E22">
      <f>J22+L22+N22+P22+R22+T22+V22+X22+Z22</f>
    </oc>
    <nc r="E22">
      <f>J22+L22+N22+P22+R22+T22+V22+X22+Z22+AB22</f>
    </nc>
  </rcc>
  <rcc rId="829" sId="16">
    <oc r="E26">
      <f>J26+L26+N26+P26+R26+T26+V26+X26+Z26</f>
    </oc>
    <nc r="E26">
      <f>J26+L26+N26+P26+R26+T26+V26+X26+Z26+AB26</f>
    </nc>
  </rcc>
  <rcc rId="830" sId="16">
    <oc r="E27">
      <f>J27+L27+N27+P27+R27+T27+V27+X27+Z27</f>
    </oc>
    <nc r="E27">
      <f>J27+L27+N27+P27+R27+T27+V27+X27+Z27+AB27</f>
    </nc>
  </rcc>
  <rcc rId="831" sId="16">
    <oc r="G27">
      <f>K27+M27+O27+Q27+S27+U27+W27+Y27+AA27</f>
    </oc>
    <nc r="G27">
      <f>K27+M27+O27+Q27+S27+U27+W27+Y27+AA27+AC27</f>
    </nc>
  </rcc>
  <rcc rId="832" sId="16">
    <oc r="G26">
      <f>K26+M26+O26+Q26+S26+U26+W26+Y26+AA26</f>
    </oc>
    <nc r="G26">
      <f>K26+M26+O26+Q26+S26+U26+W26+Y26+AA26+AA26</f>
    </nc>
  </rcc>
  <rfmt sheetId="16" sqref="AC27">
    <dxf>
      <fill>
        <patternFill>
          <bgColor rgb="FFFF0000"/>
        </patternFill>
      </fill>
    </dxf>
  </rfmt>
  <rcc rId="833" sId="16">
    <oc r="E33">
      <f>J33+L33+N33+P33+R33+T33+V33+X33+Z33</f>
    </oc>
    <nc r="E33">
      <f>J33+L33+N33+P33+R33+T33+V33+X33+Z33+AB33</f>
    </nc>
  </rcc>
  <rcc rId="834" sId="16">
    <oc r="E35">
      <f>J35+L35+N35+P35+R35+T35+V35+X35+Z35</f>
    </oc>
    <nc r="E35">
      <f>J35+L35+N35+P35+R35+T35+V35+X35+Z35+AB35</f>
    </nc>
  </rcc>
  <rcc rId="835" sId="16">
    <nc r="AH35" t="inlineStr">
      <is>
        <t xml:space="preserve">Расхождение плановых от фактических показателей сочставляет 600,00 тыс.руб </t>
      </is>
    </nc>
  </rcc>
  <rfmt sheetId="16" sqref="AH35" start="0" length="2147483647">
    <dxf>
      <font>
        <b val="0"/>
      </font>
    </dxf>
  </rfmt>
  <rcc rId="836" sId="16">
    <oc r="E41">
      <f>J41+L41+N41+P41+R41+T41+V41+X41+Z41</f>
    </oc>
    <nc r="E41">
      <f>J41+L41+N41+P41+R41+T41+V41+X41+Z41+AB41</f>
    </nc>
  </rcc>
  <rcc rId="837" sId="16">
    <oc r="E48">
      <f>J48+L48+N48+P48+R48+V48+T48+X48+Z48</f>
    </oc>
    <nc r="E48">
      <f>J48+L48+N48+P48+R48+V48+T48+X48+Z48+AB48</f>
    </nc>
  </rcc>
  <rcc rId="838" sId="16">
    <oc r="E55">
      <f>J55+L55+N55+P55+R55+T55+V55+X55+Z55</f>
    </oc>
    <nc r="E55">
      <f>J55+L55+N55+P55+R55+T55+V55+X55+Z55+AB55</f>
    </nc>
  </rcc>
  <rcc rId="839" sId="16">
    <oc r="F55">
      <f>G55</f>
    </oc>
    <nc r="F55">
      <f>K55+M55+O55+Q55+S55+U55+W55+Y55+AA55+AC55</f>
    </nc>
  </rcc>
  <rfmt sheetId="16" sqref="AH54" start="0" length="0">
    <dxf>
      <font>
        <b val="0"/>
        <sz val="12"/>
        <color auto="1"/>
        <name val="Times New Roman"/>
        <scheme val="none"/>
      </font>
    </dxf>
  </rfmt>
  <rcc rId="840" sId="16">
    <nc r="AH54" t="inlineStr">
      <is>
        <t>Расхождение по пункту составляет всего: 1947,60</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9" sId="19" odxf="1" dxf="1">
    <oc r="J13">
      <f>J14</f>
    </oc>
    <nc r="J13">
      <f>J14</f>
    </nc>
    <odxf>
      <fill>
        <patternFill patternType="none">
          <bgColor indexed="65"/>
        </patternFill>
      </fill>
    </odxf>
    <ndxf>
      <fill>
        <patternFill patternType="solid">
          <bgColor theme="0"/>
        </patternFill>
      </fill>
    </ndxf>
  </rcc>
  <rcc rId="850" sId="19" odxf="1" dxf="1">
    <oc r="K13">
      <f>K14</f>
    </oc>
    <nc r="K13">
      <f>K14</f>
    </nc>
    <odxf>
      <fill>
        <patternFill patternType="none">
          <bgColor indexed="65"/>
        </patternFill>
      </fill>
    </odxf>
    <ndxf>
      <fill>
        <patternFill patternType="solid">
          <bgColor theme="0"/>
        </patternFill>
      </fill>
    </ndxf>
  </rcc>
  <rcc rId="851" sId="19" odxf="1" dxf="1">
    <oc r="L13">
      <f>L14</f>
    </oc>
    <nc r="L13">
      <f>L14</f>
    </nc>
    <odxf>
      <fill>
        <patternFill patternType="none">
          <bgColor indexed="65"/>
        </patternFill>
      </fill>
    </odxf>
    <ndxf>
      <fill>
        <patternFill patternType="solid">
          <bgColor theme="0"/>
        </patternFill>
      </fill>
    </ndxf>
  </rcc>
  <rcc rId="852" sId="19" odxf="1" dxf="1">
    <oc r="M13">
      <f>M14</f>
    </oc>
    <nc r="M13">
      <f>M14</f>
    </nc>
    <odxf>
      <fill>
        <patternFill patternType="none">
          <bgColor indexed="65"/>
        </patternFill>
      </fill>
    </odxf>
    <ndxf>
      <fill>
        <patternFill patternType="solid">
          <bgColor theme="0"/>
        </patternFill>
      </fill>
    </ndxf>
  </rcc>
  <rcc rId="853" sId="19" odxf="1" dxf="1">
    <oc r="N13">
      <f>N14</f>
    </oc>
    <nc r="N13">
      <f>N14</f>
    </nc>
    <odxf>
      <fill>
        <patternFill patternType="none">
          <bgColor indexed="65"/>
        </patternFill>
      </fill>
    </odxf>
    <ndxf>
      <fill>
        <patternFill patternType="solid">
          <bgColor theme="0"/>
        </patternFill>
      </fill>
    </ndxf>
  </rcc>
  <rcc rId="854" sId="19" odxf="1" dxf="1">
    <oc r="O13">
      <f>O14</f>
    </oc>
    <nc r="O13">
      <f>O14</f>
    </nc>
    <odxf>
      <fill>
        <patternFill patternType="none">
          <bgColor indexed="65"/>
        </patternFill>
      </fill>
    </odxf>
    <ndxf>
      <fill>
        <patternFill patternType="solid">
          <bgColor theme="0"/>
        </patternFill>
      </fill>
    </ndxf>
  </rcc>
  <rcc rId="855" sId="19" odxf="1" dxf="1">
    <oc r="P13">
      <f>P14</f>
    </oc>
    <nc r="P13">
      <f>P14</f>
    </nc>
    <odxf>
      <fill>
        <patternFill patternType="none">
          <bgColor indexed="65"/>
        </patternFill>
      </fill>
    </odxf>
    <ndxf>
      <fill>
        <patternFill patternType="solid">
          <bgColor theme="0"/>
        </patternFill>
      </fill>
    </ndxf>
  </rcc>
  <rcc rId="856" sId="19" odxf="1" dxf="1">
    <oc r="Q13">
      <f>Q14</f>
    </oc>
    <nc r="Q13">
      <f>Q14</f>
    </nc>
    <odxf>
      <fill>
        <patternFill patternType="none">
          <bgColor indexed="65"/>
        </patternFill>
      </fill>
    </odxf>
    <ndxf>
      <fill>
        <patternFill patternType="solid">
          <bgColor theme="0"/>
        </patternFill>
      </fill>
    </ndxf>
  </rcc>
  <rcc rId="857" sId="19" odxf="1" dxf="1">
    <oc r="R13">
      <f>R14</f>
    </oc>
    <nc r="R13">
      <f>R14</f>
    </nc>
    <odxf>
      <fill>
        <patternFill patternType="none">
          <bgColor indexed="65"/>
        </patternFill>
      </fill>
    </odxf>
    <ndxf>
      <fill>
        <patternFill patternType="solid">
          <bgColor theme="0"/>
        </patternFill>
      </fill>
    </ndxf>
  </rcc>
  <rcc rId="858" sId="19" odxf="1" dxf="1">
    <oc r="S13">
      <f>S14</f>
    </oc>
    <nc r="S13">
      <f>S14</f>
    </nc>
    <odxf>
      <fill>
        <patternFill patternType="none">
          <bgColor indexed="65"/>
        </patternFill>
      </fill>
    </odxf>
    <ndxf>
      <fill>
        <patternFill patternType="solid">
          <bgColor theme="0"/>
        </patternFill>
      </fill>
    </ndxf>
  </rcc>
  <rcc rId="859" sId="19" odxf="1" dxf="1">
    <oc r="T13">
      <f>T14</f>
    </oc>
    <nc r="T13">
      <f>T14</f>
    </nc>
    <odxf>
      <fill>
        <patternFill patternType="none">
          <bgColor indexed="65"/>
        </patternFill>
      </fill>
    </odxf>
    <ndxf>
      <fill>
        <patternFill patternType="solid">
          <bgColor theme="0"/>
        </patternFill>
      </fill>
    </ndxf>
  </rcc>
  <rcc rId="860" sId="19" odxf="1" dxf="1">
    <oc r="U13">
      <f>U14</f>
    </oc>
    <nc r="U13">
      <f>U14</f>
    </nc>
    <odxf>
      <fill>
        <patternFill patternType="none">
          <bgColor indexed="65"/>
        </patternFill>
      </fill>
    </odxf>
    <ndxf>
      <fill>
        <patternFill patternType="solid">
          <bgColor theme="0"/>
        </patternFill>
      </fill>
    </ndxf>
  </rcc>
  <rcc rId="861" sId="19" odxf="1" dxf="1">
    <oc r="V13">
      <f>V14</f>
    </oc>
    <nc r="V13">
      <f>V14</f>
    </nc>
    <odxf>
      <fill>
        <patternFill patternType="none">
          <bgColor indexed="65"/>
        </patternFill>
      </fill>
    </odxf>
    <ndxf>
      <fill>
        <patternFill patternType="solid">
          <bgColor theme="0"/>
        </patternFill>
      </fill>
    </ndxf>
  </rcc>
  <rcc rId="862" sId="19" odxf="1" dxf="1">
    <oc r="W13">
      <f>W14</f>
    </oc>
    <nc r="W13">
      <f>W14</f>
    </nc>
    <odxf>
      <fill>
        <patternFill patternType="none">
          <bgColor indexed="65"/>
        </patternFill>
      </fill>
    </odxf>
    <ndxf>
      <fill>
        <patternFill patternType="solid">
          <bgColor theme="0"/>
        </patternFill>
      </fill>
    </ndxf>
  </rcc>
  <rcc rId="863" sId="19" odxf="1" dxf="1">
    <oc r="X13">
      <f>X14</f>
    </oc>
    <nc r="X13">
      <f>X14</f>
    </nc>
    <odxf>
      <fill>
        <patternFill patternType="none">
          <bgColor indexed="65"/>
        </patternFill>
      </fill>
    </odxf>
    <ndxf>
      <fill>
        <patternFill patternType="solid">
          <bgColor theme="0"/>
        </patternFill>
      </fill>
    </ndxf>
  </rcc>
  <rcc rId="864" sId="19" odxf="1" dxf="1">
    <oc r="Y13">
      <f>Y14</f>
    </oc>
    <nc r="Y13">
      <f>Y14</f>
    </nc>
    <odxf>
      <fill>
        <patternFill patternType="none">
          <bgColor indexed="65"/>
        </patternFill>
      </fill>
    </odxf>
    <ndxf>
      <fill>
        <patternFill patternType="solid">
          <bgColor theme="0"/>
        </patternFill>
      </fill>
    </ndxf>
  </rcc>
  <rcc rId="865" sId="19" odxf="1" dxf="1">
    <oc r="Z13">
      <f>Z14</f>
    </oc>
    <nc r="Z13">
      <f>Z14</f>
    </nc>
    <odxf>
      <fill>
        <patternFill patternType="none">
          <bgColor indexed="65"/>
        </patternFill>
      </fill>
    </odxf>
    <ndxf>
      <fill>
        <patternFill patternType="solid">
          <bgColor theme="0"/>
        </patternFill>
      </fill>
    </ndxf>
  </rcc>
  <rcc rId="866" sId="19" odxf="1" dxf="1">
    <oc r="AA13">
      <f>AA14</f>
    </oc>
    <nc r="AA13">
      <f>AA14</f>
    </nc>
    <odxf>
      <fill>
        <patternFill patternType="none">
          <bgColor indexed="65"/>
        </patternFill>
      </fill>
    </odxf>
    <ndxf>
      <fill>
        <patternFill patternType="solid">
          <bgColor theme="0"/>
        </patternFill>
      </fill>
    </ndxf>
  </rcc>
  <rcc rId="867" sId="19" odxf="1" dxf="1">
    <oc r="AB13">
      <f>AB14</f>
    </oc>
    <nc r="AB13">
      <f>AB14</f>
    </nc>
    <odxf>
      <fill>
        <patternFill patternType="none">
          <bgColor indexed="65"/>
        </patternFill>
      </fill>
    </odxf>
    <ndxf>
      <fill>
        <patternFill patternType="solid">
          <bgColor theme="0"/>
        </patternFill>
      </fill>
    </ndxf>
  </rcc>
  <rcc rId="868" sId="19" odxf="1" dxf="1">
    <oc r="AC13">
      <f>AC14</f>
    </oc>
    <nc r="AC13">
      <f>AC14</f>
    </nc>
    <odxf>
      <fill>
        <patternFill patternType="none">
          <bgColor indexed="65"/>
        </patternFill>
      </fill>
    </odxf>
    <ndxf>
      <fill>
        <patternFill patternType="solid">
          <bgColor theme="0"/>
        </patternFill>
      </fill>
    </ndxf>
  </rcc>
  <rcc rId="869" sId="19" odxf="1" dxf="1">
    <oc r="AD13">
      <f>AD14</f>
    </oc>
    <nc r="AD13">
      <f>AD14</f>
    </nc>
    <odxf>
      <fill>
        <patternFill patternType="none">
          <bgColor indexed="65"/>
        </patternFill>
      </fill>
    </odxf>
    <ndxf>
      <fill>
        <patternFill patternType="solid">
          <bgColor theme="0"/>
        </patternFill>
      </fill>
    </ndxf>
  </rcc>
  <rcc rId="870" sId="19" odxf="1" dxf="1">
    <oc r="AE13">
      <f>AE14</f>
    </oc>
    <nc r="AE13">
      <f>AE14</f>
    </nc>
    <odxf>
      <fill>
        <patternFill patternType="none">
          <bgColor indexed="65"/>
        </patternFill>
      </fill>
    </odxf>
    <ndxf>
      <fill>
        <patternFill patternType="solid">
          <bgColor theme="0"/>
        </patternFill>
      </fill>
    </ndxf>
  </rcc>
  <rcc rId="871" sId="19" odxf="1" dxf="1">
    <oc r="AF13">
      <f>AF14</f>
    </oc>
    <nc r="AF13">
      <f>AF14</f>
    </nc>
    <odxf>
      <fill>
        <patternFill patternType="none">
          <bgColor indexed="65"/>
        </patternFill>
      </fill>
    </odxf>
    <ndxf>
      <fill>
        <patternFill patternType="solid">
          <bgColor theme="0"/>
        </patternFill>
      </fill>
    </ndxf>
  </rcc>
  <rcc rId="872" sId="19" odxf="1" dxf="1">
    <oc r="AG13">
      <f>AG14</f>
    </oc>
    <nc r="AG13">
      <f>AG14</f>
    </nc>
    <odxf>
      <fill>
        <patternFill patternType="none">
          <bgColor indexed="65"/>
        </patternFill>
      </fill>
    </odxf>
    <ndxf>
      <fill>
        <patternFill patternType="solid">
          <bgColor theme="0"/>
        </patternFill>
      </fill>
    </ndxf>
  </rcc>
  <rfmt sheetId="19" sqref="J14" start="0" length="0">
    <dxf>
      <fill>
        <patternFill patternType="solid">
          <bgColor theme="0"/>
        </patternFill>
      </fill>
    </dxf>
  </rfmt>
  <rfmt sheetId="19" sqref="K14" start="0" length="0">
    <dxf>
      <fill>
        <patternFill patternType="solid">
          <bgColor theme="0"/>
        </patternFill>
      </fill>
    </dxf>
  </rfmt>
  <rfmt sheetId="19" sqref="L14" start="0" length="0">
    <dxf>
      <fill>
        <patternFill patternType="solid">
          <bgColor theme="0"/>
        </patternFill>
      </fill>
    </dxf>
  </rfmt>
  <rfmt sheetId="19" sqref="M14" start="0" length="0">
    <dxf>
      <fill>
        <patternFill patternType="solid">
          <bgColor theme="0"/>
        </patternFill>
      </fill>
    </dxf>
  </rfmt>
  <rcc rId="873" sId="19" odxf="1" dxf="1" numFmtId="4">
    <oc r="N14">
      <v>299</v>
    </oc>
    <nc r="N14">
      <v>400</v>
    </nc>
    <odxf>
      <fill>
        <patternFill patternType="none">
          <bgColor indexed="65"/>
        </patternFill>
      </fill>
    </odxf>
    <ndxf>
      <fill>
        <patternFill patternType="solid">
          <bgColor theme="0"/>
        </patternFill>
      </fill>
    </ndxf>
  </rcc>
  <rfmt sheetId="19" sqref="O14" start="0" length="0">
    <dxf>
      <fill>
        <patternFill patternType="solid">
          <bgColor theme="0"/>
        </patternFill>
      </fill>
    </dxf>
  </rfmt>
  <rfmt sheetId="19" sqref="P14" start="0" length="0">
    <dxf>
      <fill>
        <patternFill patternType="solid">
          <bgColor theme="0"/>
        </patternFill>
      </fill>
    </dxf>
  </rfmt>
  <rfmt sheetId="19" sqref="Q14" start="0" length="0">
    <dxf>
      <fill>
        <patternFill patternType="solid">
          <bgColor theme="0"/>
        </patternFill>
      </fill>
    </dxf>
  </rfmt>
  <rfmt sheetId="19" sqref="R14" start="0" length="0">
    <dxf>
      <fill>
        <patternFill patternType="solid">
          <bgColor theme="0"/>
        </patternFill>
      </fill>
    </dxf>
  </rfmt>
  <rcc rId="874" sId="19" odxf="1" dxf="1" numFmtId="4">
    <oc r="S14">
      <v>0</v>
    </oc>
    <nc r="S14">
      <v>30.94172</v>
    </nc>
    <odxf>
      <fill>
        <patternFill patternType="none">
          <bgColor indexed="65"/>
        </patternFill>
      </fill>
    </odxf>
    <ndxf>
      <fill>
        <patternFill patternType="solid">
          <bgColor theme="0"/>
        </patternFill>
      </fill>
    </ndxf>
  </rcc>
  <rfmt sheetId="19" sqref="T14" start="0" length="0">
    <dxf>
      <fill>
        <patternFill patternType="solid">
          <bgColor theme="0"/>
        </patternFill>
      </fill>
    </dxf>
  </rfmt>
  <rcc rId="875" sId="19" odxf="1" dxf="1" numFmtId="4">
    <oc r="U14">
      <v>0</v>
    </oc>
    <nc r="U14">
      <v>8.2511600000000005</v>
    </nc>
    <odxf>
      <fill>
        <patternFill patternType="none">
          <bgColor indexed="65"/>
        </patternFill>
      </fill>
    </odxf>
    <ndxf>
      <fill>
        <patternFill patternType="solid">
          <bgColor theme="0"/>
        </patternFill>
      </fill>
    </ndxf>
  </rcc>
  <rfmt sheetId="19" sqref="V14" start="0" length="0">
    <dxf>
      <fill>
        <patternFill patternType="solid">
          <bgColor theme="0"/>
        </patternFill>
      </fill>
    </dxf>
  </rfmt>
  <rfmt sheetId="19" sqref="W14" start="0" length="0">
    <dxf>
      <fill>
        <patternFill patternType="solid">
          <bgColor theme="0"/>
        </patternFill>
      </fill>
    </dxf>
  </rfmt>
  <rfmt sheetId="19" sqref="X14" start="0" length="0">
    <dxf>
      <fill>
        <patternFill patternType="solid">
          <bgColor theme="0"/>
        </patternFill>
      </fill>
    </dxf>
  </rfmt>
  <rfmt sheetId="19" sqref="Y14" start="0" length="0">
    <dxf>
      <fill>
        <patternFill patternType="solid">
          <bgColor theme="0"/>
        </patternFill>
      </fill>
    </dxf>
  </rfmt>
  <rfmt sheetId="19" sqref="Z14" start="0" length="0">
    <dxf>
      <fill>
        <patternFill patternType="solid">
          <bgColor theme="0"/>
        </patternFill>
      </fill>
    </dxf>
  </rfmt>
  <rfmt sheetId="19" sqref="AA14" start="0" length="0">
    <dxf>
      <fill>
        <patternFill patternType="solid">
          <bgColor theme="0"/>
        </patternFill>
      </fill>
    </dxf>
  </rfmt>
  <rcc rId="876" sId="19" odxf="1" dxf="1" numFmtId="4">
    <oc r="AB14">
      <v>0</v>
    </oc>
    <nc r="AB14">
      <v>299</v>
    </nc>
    <odxf>
      <fill>
        <patternFill patternType="none">
          <bgColor indexed="65"/>
        </patternFill>
      </fill>
    </odxf>
    <ndxf>
      <fill>
        <patternFill patternType="solid">
          <bgColor theme="0"/>
        </patternFill>
      </fill>
    </ndxf>
  </rcc>
  <rcc rId="877" sId="19" odxf="1" dxf="1" numFmtId="4">
    <oc r="AC14">
      <v>0</v>
    </oc>
    <nc r="AC14">
      <v>9.7626799999999996</v>
    </nc>
    <odxf>
      <fill>
        <patternFill patternType="none">
          <bgColor indexed="65"/>
        </patternFill>
      </fill>
    </odxf>
    <ndxf>
      <fill>
        <patternFill patternType="solid">
          <bgColor theme="0"/>
        </patternFill>
      </fill>
    </ndxf>
  </rcc>
  <rfmt sheetId="19" sqref="AD14" start="0" length="0">
    <dxf>
      <fill>
        <patternFill patternType="solid">
          <bgColor theme="0"/>
        </patternFill>
      </fill>
    </dxf>
  </rfmt>
  <rfmt sheetId="19" sqref="AE14" start="0" length="0">
    <dxf>
      <fill>
        <patternFill patternType="solid">
          <bgColor theme="0"/>
        </patternFill>
      </fill>
    </dxf>
  </rfmt>
  <rfmt sheetId="19" sqref="AF14" start="0" length="0">
    <dxf>
      <fill>
        <patternFill patternType="solid">
          <bgColor theme="0"/>
        </patternFill>
      </fill>
    </dxf>
  </rfmt>
  <rfmt sheetId="19" sqref="AG14" start="0" length="0">
    <dxf>
      <fill>
        <patternFill patternType="solid">
          <bgColor theme="0"/>
        </patternFill>
      </fill>
    </dxf>
  </rfmt>
  <rcc rId="878" sId="19" odxf="1" dxf="1">
    <oc r="J16">
      <f>J17</f>
    </oc>
    <nc r="J16">
      <f>J17</f>
    </nc>
    <odxf>
      <fill>
        <patternFill patternType="none">
          <bgColor indexed="65"/>
        </patternFill>
      </fill>
    </odxf>
    <ndxf>
      <fill>
        <patternFill patternType="solid">
          <bgColor theme="0"/>
        </patternFill>
      </fill>
    </ndxf>
  </rcc>
  <rcc rId="879" sId="19" odxf="1" dxf="1">
    <oc r="K16">
      <f>K17</f>
    </oc>
    <nc r="K16">
      <f>K17</f>
    </nc>
    <odxf>
      <fill>
        <patternFill patternType="none">
          <bgColor indexed="65"/>
        </patternFill>
      </fill>
    </odxf>
    <ndxf>
      <fill>
        <patternFill patternType="solid">
          <bgColor theme="0"/>
        </patternFill>
      </fill>
    </ndxf>
  </rcc>
  <rcc rId="880" sId="19" odxf="1" dxf="1">
    <oc r="L16">
      <f>L17</f>
    </oc>
    <nc r="L16">
      <f>L17</f>
    </nc>
    <odxf>
      <fill>
        <patternFill patternType="none">
          <bgColor indexed="65"/>
        </patternFill>
      </fill>
    </odxf>
    <ndxf>
      <fill>
        <patternFill patternType="solid">
          <bgColor theme="0"/>
        </patternFill>
      </fill>
    </ndxf>
  </rcc>
  <rcc rId="881" sId="19" odxf="1" dxf="1">
    <oc r="M16">
      <f>M17</f>
    </oc>
    <nc r="M16">
      <f>M17</f>
    </nc>
    <odxf>
      <fill>
        <patternFill patternType="none">
          <bgColor indexed="65"/>
        </patternFill>
      </fill>
    </odxf>
    <ndxf>
      <fill>
        <patternFill patternType="solid">
          <bgColor theme="0"/>
        </patternFill>
      </fill>
    </ndxf>
  </rcc>
  <rcc rId="882" sId="19" odxf="1" dxf="1">
    <oc r="N16">
      <f>N17</f>
    </oc>
    <nc r="N16">
      <f>N17</f>
    </nc>
    <odxf>
      <fill>
        <patternFill patternType="none">
          <bgColor indexed="65"/>
        </patternFill>
      </fill>
    </odxf>
    <ndxf>
      <fill>
        <patternFill patternType="solid">
          <bgColor theme="0"/>
        </patternFill>
      </fill>
    </ndxf>
  </rcc>
  <rcc rId="883" sId="19" odxf="1" dxf="1">
    <oc r="O16">
      <f>O17</f>
    </oc>
    <nc r="O16">
      <f>O17</f>
    </nc>
    <odxf>
      <fill>
        <patternFill patternType="none">
          <bgColor indexed="65"/>
        </patternFill>
      </fill>
    </odxf>
    <ndxf>
      <fill>
        <patternFill patternType="solid">
          <bgColor theme="0"/>
        </patternFill>
      </fill>
    </ndxf>
  </rcc>
  <rcc rId="884" sId="19" odxf="1" dxf="1">
    <oc r="P16">
      <f>P17</f>
    </oc>
    <nc r="P16">
      <f>P17</f>
    </nc>
    <odxf>
      <fill>
        <patternFill patternType="none">
          <bgColor indexed="65"/>
        </patternFill>
      </fill>
    </odxf>
    <ndxf>
      <fill>
        <patternFill patternType="solid">
          <bgColor theme="0"/>
        </patternFill>
      </fill>
    </ndxf>
  </rcc>
  <rcc rId="885" sId="19" odxf="1" dxf="1">
    <oc r="Q16">
      <f>Q17</f>
    </oc>
    <nc r="Q16">
      <f>Q17</f>
    </nc>
    <odxf>
      <fill>
        <patternFill patternType="none">
          <bgColor indexed="65"/>
        </patternFill>
      </fill>
    </odxf>
    <ndxf>
      <fill>
        <patternFill patternType="solid">
          <bgColor theme="0"/>
        </patternFill>
      </fill>
    </ndxf>
  </rcc>
  <rcc rId="886" sId="19" odxf="1" dxf="1">
    <oc r="R16">
      <f>R17</f>
    </oc>
    <nc r="R16">
      <f>R17</f>
    </nc>
    <odxf>
      <fill>
        <patternFill patternType="none">
          <bgColor indexed="65"/>
        </patternFill>
      </fill>
    </odxf>
    <ndxf>
      <fill>
        <patternFill patternType="solid">
          <bgColor theme="0"/>
        </patternFill>
      </fill>
    </ndxf>
  </rcc>
  <rcc rId="887" sId="19" odxf="1" dxf="1">
    <oc r="S16">
      <f>S17</f>
    </oc>
    <nc r="S16">
      <f>S17</f>
    </nc>
    <odxf>
      <fill>
        <patternFill patternType="none">
          <bgColor indexed="65"/>
        </patternFill>
      </fill>
    </odxf>
    <ndxf>
      <fill>
        <patternFill patternType="solid">
          <bgColor theme="0"/>
        </patternFill>
      </fill>
    </ndxf>
  </rcc>
  <rcc rId="888" sId="19" odxf="1" dxf="1">
    <oc r="T16">
      <f>T17</f>
    </oc>
    <nc r="T16">
      <f>T17</f>
    </nc>
    <odxf>
      <fill>
        <patternFill patternType="none">
          <bgColor indexed="65"/>
        </patternFill>
      </fill>
    </odxf>
    <ndxf>
      <fill>
        <patternFill patternType="solid">
          <bgColor theme="0"/>
        </patternFill>
      </fill>
    </ndxf>
  </rcc>
  <rcc rId="889" sId="19" odxf="1" dxf="1">
    <oc r="U16">
      <f>U17</f>
    </oc>
    <nc r="U16">
      <f>U17</f>
    </nc>
    <odxf>
      <fill>
        <patternFill patternType="none">
          <bgColor indexed="65"/>
        </patternFill>
      </fill>
    </odxf>
    <ndxf>
      <fill>
        <patternFill patternType="solid">
          <bgColor theme="0"/>
        </patternFill>
      </fill>
    </ndxf>
  </rcc>
  <rcc rId="890" sId="19" odxf="1" dxf="1">
    <oc r="V16">
      <f>V17</f>
    </oc>
    <nc r="V16">
      <f>V17</f>
    </nc>
    <odxf>
      <fill>
        <patternFill patternType="none">
          <bgColor indexed="65"/>
        </patternFill>
      </fill>
    </odxf>
    <ndxf>
      <fill>
        <patternFill patternType="solid">
          <bgColor theme="0"/>
        </patternFill>
      </fill>
    </ndxf>
  </rcc>
  <rcc rId="891" sId="19" odxf="1" dxf="1">
    <oc r="W16">
      <f>W17</f>
    </oc>
    <nc r="W16">
      <f>W17</f>
    </nc>
    <odxf>
      <fill>
        <patternFill patternType="none">
          <bgColor indexed="65"/>
        </patternFill>
      </fill>
    </odxf>
    <ndxf>
      <fill>
        <patternFill patternType="solid">
          <bgColor theme="0"/>
        </patternFill>
      </fill>
    </ndxf>
  </rcc>
  <rcc rId="892" sId="19" odxf="1" dxf="1">
    <oc r="X16">
      <f>X17</f>
    </oc>
    <nc r="X16">
      <f>X17</f>
    </nc>
    <odxf>
      <fill>
        <patternFill patternType="none">
          <bgColor indexed="65"/>
        </patternFill>
      </fill>
    </odxf>
    <ndxf>
      <fill>
        <patternFill patternType="solid">
          <bgColor theme="0"/>
        </patternFill>
      </fill>
    </ndxf>
  </rcc>
  <rcc rId="893" sId="19" odxf="1" dxf="1">
    <oc r="Y16">
      <f>Y17</f>
    </oc>
    <nc r="Y16">
      <f>Y17</f>
    </nc>
    <odxf>
      <fill>
        <patternFill patternType="none">
          <bgColor indexed="65"/>
        </patternFill>
      </fill>
    </odxf>
    <ndxf>
      <fill>
        <patternFill patternType="solid">
          <bgColor theme="0"/>
        </patternFill>
      </fill>
    </ndxf>
  </rcc>
  <rcc rId="894" sId="19" odxf="1" dxf="1">
    <oc r="Z16">
      <f>Z17</f>
    </oc>
    <nc r="Z16">
      <f>Z17</f>
    </nc>
    <odxf>
      <fill>
        <patternFill patternType="none">
          <bgColor indexed="65"/>
        </patternFill>
      </fill>
    </odxf>
    <ndxf>
      <fill>
        <patternFill patternType="solid">
          <bgColor theme="0"/>
        </patternFill>
      </fill>
    </ndxf>
  </rcc>
  <rcc rId="895" sId="19" odxf="1" dxf="1">
    <oc r="AA16">
      <f>AA17</f>
    </oc>
    <nc r="AA16">
      <f>AA17</f>
    </nc>
    <odxf>
      <fill>
        <patternFill patternType="none">
          <bgColor indexed="65"/>
        </patternFill>
      </fill>
    </odxf>
    <ndxf>
      <fill>
        <patternFill patternType="solid">
          <bgColor theme="0"/>
        </patternFill>
      </fill>
    </ndxf>
  </rcc>
  <rcc rId="896" sId="19" odxf="1" dxf="1">
    <oc r="AB16">
      <f>AB17</f>
    </oc>
    <nc r="AB16">
      <f>AB17</f>
    </nc>
    <odxf>
      <fill>
        <patternFill patternType="none">
          <bgColor indexed="65"/>
        </patternFill>
      </fill>
    </odxf>
    <ndxf>
      <fill>
        <patternFill patternType="solid">
          <bgColor theme="0"/>
        </patternFill>
      </fill>
    </ndxf>
  </rcc>
  <rcc rId="897" sId="19" odxf="1" dxf="1">
    <oc r="AC16">
      <f>AC17</f>
    </oc>
    <nc r="AC16">
      <f>AC17</f>
    </nc>
    <odxf>
      <fill>
        <patternFill patternType="none">
          <bgColor indexed="65"/>
        </patternFill>
      </fill>
    </odxf>
    <ndxf>
      <fill>
        <patternFill patternType="solid">
          <bgColor theme="0"/>
        </patternFill>
      </fill>
    </ndxf>
  </rcc>
  <rcc rId="898" sId="19" odxf="1" dxf="1">
    <oc r="AD16">
      <f>AD17</f>
    </oc>
    <nc r="AD16">
      <f>AD17</f>
    </nc>
    <odxf>
      <fill>
        <patternFill patternType="none">
          <bgColor indexed="65"/>
        </patternFill>
      </fill>
    </odxf>
    <ndxf>
      <fill>
        <patternFill patternType="solid">
          <bgColor theme="0"/>
        </patternFill>
      </fill>
    </ndxf>
  </rcc>
  <rcc rId="899" sId="19" odxf="1" dxf="1">
    <oc r="AE16">
      <f>AE17</f>
    </oc>
    <nc r="AE16">
      <f>AE17</f>
    </nc>
    <odxf>
      <fill>
        <patternFill patternType="none">
          <bgColor indexed="65"/>
        </patternFill>
      </fill>
    </odxf>
    <ndxf>
      <fill>
        <patternFill patternType="solid">
          <bgColor theme="0"/>
        </patternFill>
      </fill>
    </ndxf>
  </rcc>
  <rcc rId="900" sId="19" odxf="1" dxf="1">
    <oc r="AF16">
      <f>AF17</f>
    </oc>
    <nc r="AF16">
      <f>AF17</f>
    </nc>
    <odxf>
      <fill>
        <patternFill patternType="none">
          <bgColor indexed="65"/>
        </patternFill>
      </fill>
    </odxf>
    <ndxf>
      <fill>
        <patternFill patternType="solid">
          <bgColor theme="0"/>
        </patternFill>
      </fill>
    </ndxf>
  </rcc>
  <rcc rId="901" sId="19" odxf="1" dxf="1">
    <oc r="AG16">
      <f>AG17</f>
    </oc>
    <nc r="AG16">
      <f>AG17</f>
    </nc>
    <odxf>
      <fill>
        <patternFill patternType="none">
          <bgColor indexed="65"/>
        </patternFill>
      </fill>
    </odxf>
    <ndxf>
      <fill>
        <patternFill patternType="solid">
          <bgColor theme="0"/>
        </patternFill>
      </fill>
    </ndxf>
  </rcc>
  <rcc rId="902" sId="19" numFmtId="4">
    <oc r="J17">
      <v>2602.2539999999999</v>
    </oc>
    <nc r="J17">
      <v>2602.25432</v>
    </nc>
  </rcc>
  <rcc rId="903" sId="19">
    <oc r="L17">
      <f>3282.855+206.29961</f>
    </oc>
    <nc r="L17">
      <f>3282.855+206.29961</f>
    </nc>
  </rcc>
  <rcc rId="904" sId="19">
    <oc r="M17">
      <f>1428.86802+206.29961</f>
    </oc>
    <nc r="M17">
      <f>1696.67402+206.29961</f>
    </nc>
  </rcc>
  <rcc rId="905" sId="19">
    <oc r="N17">
      <f>1116.752+111.03594</f>
    </oc>
    <nc r="N17">
      <f>1116.752+111.03594</f>
    </nc>
  </rcc>
  <rcc rId="906" sId="19">
    <oc r="O17">
      <f>1332.98505+111.03594</f>
    </oc>
    <nc r="O17">
      <f>1332.98505+111.03594</f>
    </nc>
  </rcc>
  <rcc rId="907" sId="19">
    <oc r="P17">
      <f>6764.39581</f>
    </oc>
    <nc r="P17">
      <f>7267.40081+444.14376</f>
    </nc>
  </rcc>
  <rcc rId="908" sId="19" numFmtId="4">
    <oc r="Q17">
      <v>0</v>
    </oc>
    <nc r="Q17">
      <f>2836.24998+444.14376</f>
    </nc>
  </rcc>
  <rcc rId="909" sId="19" numFmtId="4">
    <oc r="R17">
      <v>1071.3579999999999</v>
    </oc>
    <nc r="R17">
      <f>1717.948+134.13142</f>
    </nc>
  </rcc>
  <rcc rId="910" sId="19" numFmtId="4">
    <oc r="S17">
      <v>0</v>
    </oc>
    <nc r="S17">
      <f>2185.28843+134.13142</f>
    </nc>
  </rcc>
  <rcc rId="911" sId="19" numFmtId="4">
    <oc r="T17">
      <v>1575.1579999999999</v>
    </oc>
    <nc r="T17">
      <v>2081.7179999999998</v>
    </nc>
  </rcc>
  <rcc rId="912" sId="19" numFmtId="4">
    <oc r="U17">
      <v>0</v>
    </oc>
    <nc r="U17">
      <v>3366.8392600000002</v>
    </nc>
  </rcc>
  <rcc rId="913" sId="19" numFmtId="4">
    <oc r="V17">
      <v>6810.6444600000004</v>
    </oc>
    <nc r="V17">
      <v>7885.4738699999998</v>
    </nc>
  </rcc>
  <rcc rId="914" sId="19" numFmtId="4">
    <oc r="W17">
      <v>0</v>
    </oc>
    <nc r="W17">
      <v>4531.6786300000003</v>
    </nc>
  </rcc>
  <rcc rId="915" sId="19" numFmtId="4">
    <oc r="X17">
      <v>861.35799999999995</v>
    </oc>
    <nc r="X17">
      <v>1056.258</v>
    </nc>
  </rcc>
  <rcc rId="916" sId="19" numFmtId="4">
    <oc r="Y17">
      <v>0</v>
    </oc>
    <nc r="Y17">
      <v>2488.1683400000002</v>
    </nc>
  </rcc>
  <rcc rId="917" sId="19" numFmtId="4">
    <oc r="Z17">
      <v>911.35799999999995</v>
    </oc>
    <nc r="Z17">
      <v>907.79963999999995</v>
    </nc>
  </rcc>
  <rcc rId="918" sId="19" numFmtId="4">
    <oc r="AA17">
      <v>0</v>
    </oc>
    <nc r="AA17">
      <v>2478.7598600000001</v>
    </nc>
  </rcc>
  <rcc rId="919" sId="19" numFmtId="4">
    <oc r="AB17">
      <v>3575.2428</v>
    </oc>
    <nc r="AB17">
      <v>3349.81916</v>
    </nc>
  </rcc>
  <rcc rId="920" sId="19" numFmtId="4">
    <oc r="AC17">
      <v>0</v>
    </oc>
    <nc r="AC17">
      <v>2859.5976700000001</v>
    </nc>
  </rcc>
  <rcc rId="921" sId="19" numFmtId="4">
    <oc r="AD17">
      <v>861.04962999999998</v>
    </oc>
    <nc r="AD17">
      <v>820.1</v>
    </nc>
  </rcc>
  <rcc rId="922" sId="19">
    <oc r="AF17">
      <f>6031.97398+1151.20039+1381.36406</f>
    </oc>
    <nc r="AF17">
      <f>3414.121+1151.20039+803.0888</f>
    </nc>
  </rcc>
  <rcc rId="923" sId="19">
    <oc r="J18">
      <f>J19+J20+J21</f>
    </oc>
    <nc r="J18">
      <f>J19+J20+J21</f>
    </nc>
  </rcc>
  <rcc rId="924" sId="19">
    <oc r="K18">
      <f>K19+K20+K21</f>
    </oc>
    <nc r="K18">
      <f>K19+K20+K21</f>
    </nc>
  </rcc>
  <rcc rId="925" sId="19">
    <oc r="L18">
      <f>L19+L20+L21</f>
    </oc>
    <nc r="L18">
      <f>L19+L20+L21</f>
    </nc>
  </rcc>
  <rcc rId="926" sId="19">
    <oc r="M18">
      <f>M19+M20+M21</f>
    </oc>
    <nc r="M18">
      <f>M19+M20+M21</f>
    </nc>
  </rcc>
  <rcc rId="927" sId="19">
    <oc r="N18">
      <f>N19+N20+N21</f>
    </oc>
    <nc r="N18">
      <f>N19+N20+N21</f>
    </nc>
  </rcc>
  <rcc rId="928" sId="19">
    <oc r="O18">
      <f>O19+O20+O21</f>
    </oc>
    <nc r="O18">
      <f>O19+O20+O21</f>
    </nc>
  </rcc>
  <rcc rId="929" sId="19">
    <oc r="P18">
      <f>P19+P20+P21</f>
    </oc>
    <nc r="P18">
      <f>P19+P20+P21</f>
    </nc>
  </rcc>
  <rcc rId="930" sId="19">
    <oc r="Q18">
      <f>Q19+Q20+Q21</f>
    </oc>
    <nc r="Q18">
      <f>Q19+Q20+Q21</f>
    </nc>
  </rcc>
  <rcc rId="931" sId="19">
    <oc r="R18">
      <f>R19+R20+R21</f>
    </oc>
    <nc r="R18">
      <f>R19+R20+R21</f>
    </nc>
  </rcc>
  <rcc rId="932" sId="19">
    <oc r="S18">
      <f>S19+S20+S21</f>
    </oc>
    <nc r="S18">
      <f>S19+S20+S21</f>
    </nc>
  </rcc>
  <rcc rId="933" sId="19">
    <oc r="T18">
      <f>T19+T20+T21</f>
    </oc>
    <nc r="T18">
      <f>T19+T20+T21</f>
    </nc>
  </rcc>
  <rcc rId="934" sId="19">
    <oc r="U18">
      <f>U19+U20+U21</f>
    </oc>
    <nc r="U18">
      <f>U19+U20+U21</f>
    </nc>
  </rcc>
  <rcc rId="935" sId="19">
    <oc r="V18">
      <f>V19+V20+V21</f>
    </oc>
    <nc r="V18">
      <f>V19+V20+V21</f>
    </nc>
  </rcc>
  <rcc rId="936" sId="19">
    <oc r="W18">
      <f>W19+W20+W21</f>
    </oc>
    <nc r="W18">
      <f>W19+W20+W21</f>
    </nc>
  </rcc>
  <rcc rId="937" sId="19">
    <oc r="X18">
      <f>X19+X20+X21</f>
    </oc>
    <nc r="X18">
      <f>X19+X20+X21</f>
    </nc>
  </rcc>
  <rcc rId="938" sId="19">
    <oc r="Y18">
      <f>Y19+Y20+Y21</f>
    </oc>
    <nc r="Y18">
      <f>Y19+Y20+Y21</f>
    </nc>
  </rcc>
  <rcc rId="939" sId="19">
    <oc r="Z18">
      <f>Z19+Z20+Z21</f>
    </oc>
    <nc r="Z18">
      <f>Z19+Z20+Z21</f>
    </nc>
  </rcc>
  <rcc rId="940" sId="19">
    <oc r="AA18">
      <f>AA19+AA20+AA21</f>
    </oc>
    <nc r="AA18">
      <f>AA19+AA20+AA21</f>
    </nc>
  </rcc>
  <rcc rId="941" sId="19">
    <oc r="AB18">
      <f>AB19+AB20+AB21</f>
    </oc>
    <nc r="AB18">
      <f>AB19+AB20+AB21</f>
    </nc>
  </rcc>
  <rcc rId="942" sId="19">
    <oc r="AC18">
      <f>AC19+AC20+AC21</f>
    </oc>
    <nc r="AC18">
      <f>AC19+AC20+AC21</f>
    </nc>
  </rcc>
  <rcc rId="943" sId="19">
    <oc r="AD18">
      <f>AD19+AD20+AD21</f>
    </oc>
    <nc r="AD18">
      <f>AD19+AD20+AD21</f>
    </nc>
  </rcc>
  <rcc rId="944" sId="19">
    <oc r="AE18">
      <f>AE19+AE20+AE21</f>
    </oc>
    <nc r="AE18">
      <f>AE19+AE20+AE21</f>
    </nc>
  </rcc>
  <rcc rId="945" sId="19">
    <oc r="AF18">
      <f>AF19+AF20+AF21</f>
    </oc>
    <nc r="AF18">
      <f>AF19+AF20+AF21</f>
    </nc>
  </rcc>
  <rcc rId="946" sId="19" odxf="1" dxf="1">
    <oc r="AG18">
      <f>AG19+AG20+AG21</f>
    </oc>
    <nc r="AG18">
      <f>AG19+AG20+AG21</f>
    </nc>
    <odxf>
      <fill>
        <patternFill patternType="none">
          <bgColor indexed="65"/>
        </patternFill>
      </fill>
    </odxf>
    <ndxf>
      <fill>
        <patternFill patternType="solid">
          <bgColor theme="0"/>
        </patternFill>
      </fill>
    </ndxf>
  </rcc>
  <rcc rId="947" sId="19" numFmtId="4">
    <oc r="P19">
      <v>457.40699999999998</v>
    </oc>
    <nc r="P19">
      <v>614.40700000000004</v>
    </nc>
  </rcc>
  <rcc rId="948" sId="19" numFmtId="4">
    <oc r="Q19">
      <v>0</v>
    </oc>
    <nc r="Q19">
      <v>453.94542000000001</v>
    </nc>
  </rcc>
  <rcc rId="949" sId="19" numFmtId="4">
    <oc r="R19">
      <v>544.53800000000001</v>
    </oc>
    <nc r="R19">
      <v>649.43899999999996</v>
    </nc>
  </rcc>
  <rcc rId="950" sId="19" numFmtId="4">
    <oc r="S19">
      <v>0</v>
    </oc>
    <nc r="S19">
      <v>678.62918000000002</v>
    </nc>
  </rcc>
  <rcc rId="951" sId="19" numFmtId="4">
    <oc r="T19">
      <v>558.61</v>
    </oc>
    <nc r="T19">
      <v>296.709</v>
    </nc>
  </rcc>
  <rcc rId="952" sId="19" numFmtId="4">
    <oc r="U19">
      <v>0</v>
    </oc>
    <nc r="U19">
      <v>427.98540000000003</v>
    </nc>
  </rcc>
  <rcc rId="953" sId="19" numFmtId="4">
    <oc r="V19">
      <v>523.43399999999997</v>
    </oc>
    <nc r="V19">
      <v>546.70699999999999</v>
    </nc>
  </rcc>
  <rcc rId="954" sId="19" numFmtId="4">
    <oc r="W19">
      <v>0</v>
    </oc>
    <nc r="W19">
      <v>488.57035000000002</v>
    </nc>
  </rcc>
  <rcc rId="955" sId="19" numFmtId="4">
    <oc r="X19">
      <v>653.15700000000004</v>
    </oc>
    <nc r="X19">
      <v>705.66300000000001</v>
    </nc>
  </rcc>
  <rcc rId="956" sId="19" numFmtId="4">
    <oc r="Y19">
      <v>0</v>
    </oc>
    <nc r="Y19">
      <v>808.19493999999997</v>
    </nc>
  </rcc>
  <rcc rId="957" sId="19" numFmtId="4">
    <oc r="Z19">
      <v>718.149</v>
    </oc>
    <nc r="Z19">
      <v>642.37</v>
    </nc>
  </rcc>
  <rcc rId="958" sId="19" numFmtId="4">
    <oc r="AA19">
      <v>0</v>
    </oc>
    <nc r="AA19">
      <v>597.96470999999997</v>
    </nc>
  </rcc>
  <rcc rId="959" sId="19" numFmtId="4">
    <oc r="AB19">
      <v>339.88</v>
    </oc>
    <nc r="AB19">
      <v>384.56900000000002</v>
    </nc>
  </rcc>
  <rcc rId="960" sId="19" numFmtId="4">
    <oc r="AC19">
      <v>0</v>
    </oc>
    <nc r="AC19">
      <v>307.68378000000001</v>
    </nc>
  </rcc>
  <rcc rId="961" sId="19" numFmtId="4">
    <oc r="AF19">
      <v>524.34</v>
    </oc>
    <nc r="AF19">
      <v>479.65100000000001</v>
    </nc>
  </rcc>
  <rfmt sheetId="19" sqref="AG19" start="0" length="0">
    <dxf>
      <fill>
        <patternFill patternType="solid">
          <bgColor theme="0"/>
        </patternFill>
      </fill>
    </dxf>
  </rfmt>
  <rcc rId="962" sId="19" numFmtId="4">
    <oc r="P20">
      <v>186.07415</v>
    </oc>
    <nc r="P20">
      <v>201.77414999999999</v>
    </nc>
  </rcc>
  <rcc rId="963" sId="19" numFmtId="4">
    <oc r="Q20">
      <v>0</v>
    </oc>
    <nc r="Q20">
      <v>199.33436</v>
    </nc>
  </rcc>
  <rcc rId="964" sId="19" numFmtId="4">
    <oc r="R20">
      <v>192.84</v>
    </oc>
    <nc r="R20">
      <v>177.14</v>
    </nc>
  </rcc>
  <rcc rId="965" sId="19" numFmtId="4">
    <oc r="T20">
      <v>118.44</v>
    </oc>
    <nc r="T20">
      <v>324.19898999999998</v>
    </nc>
  </rcc>
  <rcc rId="966" sId="19" numFmtId="4">
    <oc r="U20">
      <v>0</v>
    </oc>
    <nc r="U20">
      <v>340.09037000000001</v>
    </nc>
  </rcc>
  <rcc rId="967" sId="19" numFmtId="4">
    <oc r="W20">
      <v>0</v>
    </oc>
    <nc r="W20">
      <v>210.89608000000001</v>
    </nc>
  </rcc>
  <rcc rId="968" sId="19" numFmtId="4">
    <oc r="Y20">
      <v>0</v>
    </oc>
    <nc r="Y20">
      <v>65.975800000000007</v>
    </nc>
  </rcc>
  <rcc rId="969" sId="19" numFmtId="4">
    <oc r="AA20">
      <v>0</v>
    </oc>
    <nc r="AA20">
      <v>78.29853</v>
    </nc>
  </rcc>
  <rcc rId="970" sId="19" numFmtId="4">
    <oc r="AB20">
      <v>535.75160000000005</v>
    </oc>
    <nc r="AB20">
      <v>590.95015999999998</v>
    </nc>
  </rcc>
  <rcc rId="971" sId="19" numFmtId="4">
    <oc r="AC20">
      <v>0</v>
    </oc>
    <nc r="AC20">
      <v>315.14258999999998</v>
    </nc>
  </rcc>
  <rcc rId="972" sId="19" numFmtId="4">
    <oc r="AD20">
      <v>50</v>
    </oc>
    <nc r="AD20">
      <v>66.7</v>
    </nc>
  </rcc>
  <rcc rId="973" sId="19" numFmtId="4">
    <oc r="AF20">
      <v>308.79599999999999</v>
    </oc>
    <nc r="AF20">
      <v>110.837</v>
    </nc>
  </rcc>
  <rfmt sheetId="19" sqref="AG20" start="0" length="0">
    <dxf>
      <fill>
        <patternFill patternType="solid">
          <bgColor theme="0"/>
        </patternFill>
      </fill>
    </dxf>
  </rfmt>
  <rfmt sheetId="19" sqref="J21" start="0" length="0">
    <dxf>
      <fill>
        <patternFill patternType="solid">
          <bgColor theme="0"/>
        </patternFill>
      </fill>
    </dxf>
  </rfmt>
  <rfmt sheetId="19" sqref="K21" start="0" length="0">
    <dxf>
      <fill>
        <patternFill patternType="solid">
          <bgColor theme="0"/>
        </patternFill>
      </fill>
    </dxf>
  </rfmt>
  <rfmt sheetId="19" sqref="L21" start="0" length="0">
    <dxf>
      <fill>
        <patternFill patternType="solid">
          <bgColor theme="0"/>
        </patternFill>
      </fill>
    </dxf>
  </rfmt>
  <rfmt sheetId="19" sqref="M21" start="0" length="0">
    <dxf>
      <fill>
        <patternFill patternType="solid">
          <bgColor theme="0"/>
        </patternFill>
      </fill>
    </dxf>
  </rfmt>
  <rfmt sheetId="19" sqref="N21" start="0" length="0">
    <dxf>
      <fill>
        <patternFill patternType="solid">
          <bgColor theme="0"/>
        </patternFill>
      </fill>
    </dxf>
  </rfmt>
  <rfmt sheetId="19" sqref="O21" start="0" length="0">
    <dxf>
      <fill>
        <patternFill patternType="solid">
          <bgColor theme="0"/>
        </patternFill>
      </fill>
    </dxf>
  </rfmt>
  <rfmt sheetId="19" sqref="P21" start="0" length="0">
    <dxf>
      <fill>
        <patternFill patternType="solid">
          <bgColor theme="0"/>
        </patternFill>
      </fill>
    </dxf>
  </rfmt>
  <rfmt sheetId="19" sqref="Q21" start="0" length="0">
    <dxf>
      <fill>
        <patternFill patternType="solid">
          <bgColor theme="0"/>
        </patternFill>
      </fill>
    </dxf>
  </rfmt>
  <rfmt sheetId="19" sqref="R21" start="0" length="0">
    <dxf>
      <fill>
        <patternFill patternType="solid">
          <bgColor theme="0"/>
        </patternFill>
      </fill>
    </dxf>
  </rfmt>
  <rfmt sheetId="19" sqref="S21" start="0" length="0">
    <dxf>
      <fill>
        <patternFill patternType="solid">
          <bgColor theme="0"/>
        </patternFill>
      </fill>
    </dxf>
  </rfmt>
  <rfmt sheetId="19" sqref="T21" start="0" length="0">
    <dxf>
      <fill>
        <patternFill patternType="solid">
          <bgColor theme="0"/>
        </patternFill>
      </fill>
    </dxf>
  </rfmt>
  <rfmt sheetId="19" sqref="U21" start="0" length="0">
    <dxf>
      <fill>
        <patternFill patternType="solid">
          <bgColor theme="0"/>
        </patternFill>
      </fill>
    </dxf>
  </rfmt>
  <rfmt sheetId="19" sqref="V21" start="0" length="0">
    <dxf>
      <fill>
        <patternFill patternType="solid">
          <bgColor theme="0"/>
        </patternFill>
      </fill>
    </dxf>
  </rfmt>
  <rfmt sheetId="19" sqref="W21" start="0" length="0">
    <dxf>
      <fill>
        <patternFill patternType="solid">
          <bgColor theme="0"/>
        </patternFill>
      </fill>
    </dxf>
  </rfmt>
  <rfmt sheetId="19" sqref="X21" start="0" length="0">
    <dxf>
      <fill>
        <patternFill patternType="solid">
          <bgColor theme="0"/>
        </patternFill>
      </fill>
    </dxf>
  </rfmt>
  <rfmt sheetId="19" sqref="Y21" start="0" length="0">
    <dxf>
      <fill>
        <patternFill patternType="solid">
          <bgColor theme="0"/>
        </patternFill>
      </fill>
    </dxf>
  </rfmt>
  <rfmt sheetId="19" sqref="Z21" start="0" length="0">
    <dxf>
      <fill>
        <patternFill patternType="solid">
          <bgColor theme="0"/>
        </patternFill>
      </fill>
    </dxf>
  </rfmt>
  <rfmt sheetId="19" sqref="AA21" start="0" length="0">
    <dxf>
      <fill>
        <patternFill patternType="solid">
          <bgColor theme="0"/>
        </patternFill>
      </fill>
    </dxf>
  </rfmt>
  <rfmt sheetId="19" sqref="AB21" start="0" length="0">
    <dxf>
      <fill>
        <patternFill patternType="solid">
          <bgColor theme="0"/>
        </patternFill>
      </fill>
    </dxf>
  </rfmt>
  <rfmt sheetId="19" sqref="AC21" start="0" length="0">
    <dxf>
      <fill>
        <patternFill patternType="solid">
          <bgColor theme="0"/>
        </patternFill>
      </fill>
    </dxf>
  </rfmt>
  <rcc rId="974" sId="19" odxf="1" dxf="1" numFmtId="4">
    <oc r="AD21">
      <v>0</v>
    </oc>
    <nc r="AD21">
      <v>78.12</v>
    </nc>
    <odxf>
      <fill>
        <patternFill patternType="none">
          <bgColor indexed="65"/>
        </patternFill>
      </fill>
    </odxf>
    <ndxf>
      <fill>
        <patternFill patternType="solid">
          <bgColor theme="0"/>
        </patternFill>
      </fill>
    </ndxf>
  </rcc>
  <rfmt sheetId="19" sqref="AE21" start="0" length="0">
    <dxf>
      <fill>
        <patternFill patternType="solid">
          <bgColor theme="0"/>
        </patternFill>
      </fill>
    </dxf>
  </rfmt>
  <rfmt sheetId="19" sqref="AF21" start="0" length="0">
    <dxf>
      <fill>
        <patternFill patternType="solid">
          <bgColor theme="0"/>
        </patternFill>
      </fill>
    </dxf>
  </rfmt>
  <rfmt sheetId="19" sqref="AG21" start="0" length="0">
    <dxf>
      <fill>
        <patternFill patternType="solid">
          <bgColor theme="0"/>
        </patternFill>
      </fill>
    </dxf>
  </rfmt>
  <rcc rId="975" sId="19" odxf="1" dxf="1">
    <oc r="J23">
      <f>J24</f>
    </oc>
    <nc r="J23">
      <f>J24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6" sId="19" odxf="1" dxf="1">
    <oc r="K23">
      <f>K24</f>
    </oc>
    <nc r="K23">
      <f>K24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7" sId="19" odxf="1" dxf="1">
    <oc r="L23">
      <f>L24</f>
    </oc>
    <nc r="L23">
      <f>L24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8" sId="19" odxf="1" dxf="1">
    <oc r="M23">
      <f>M24</f>
    </oc>
    <nc r="M23">
      <f>M24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9" sId="19" odxf="1" dxf="1">
    <oc r="N23">
      <f>N24</f>
    </oc>
    <nc r="N23">
      <f>N24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0" sId="19" odxf="1" dxf="1">
    <oc r="O23">
      <f>O24</f>
    </oc>
    <nc r="O23">
      <f>O24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1" sId="19" odxf="1" dxf="1">
    <oc r="P23">
      <f>P24</f>
    </oc>
    <nc r="P23">
      <f>P24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2" sId="19" odxf="1" dxf="1">
    <oc r="Q23">
      <f>Q24</f>
    </oc>
    <nc r="Q23">
      <f>Q24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3" sId="19" odxf="1" dxf="1">
    <oc r="R23">
      <f>R24</f>
    </oc>
    <nc r="R23">
      <f>R24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4" sId="19" odxf="1" dxf="1">
    <oc r="S23">
      <f>S24</f>
    </oc>
    <nc r="S23">
      <f>S24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5" sId="19" odxf="1" dxf="1">
    <oc r="T23">
      <f>T24</f>
    </oc>
    <nc r="T23">
      <f>T24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6" sId="19" odxf="1" dxf="1">
    <oc r="U23">
      <f>U24</f>
    </oc>
    <nc r="U23">
      <f>U24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7" sId="19" odxf="1" dxf="1">
    <oc r="V23">
      <f>V24</f>
    </oc>
    <nc r="V23">
      <f>V24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8" sId="19" odxf="1" dxf="1">
    <oc r="W23">
      <f>W24</f>
    </oc>
    <nc r="W23">
      <f>W24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9" sId="19" odxf="1" dxf="1">
    <oc r="X23">
      <f>X24</f>
    </oc>
    <nc r="X23">
      <f>X24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0" sId="19" odxf="1" dxf="1">
    <oc r="Y23">
      <f>Y24</f>
    </oc>
    <nc r="Y23">
      <f>Y24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1" sId="19" odxf="1" dxf="1">
    <oc r="Z23">
      <f>Z24</f>
    </oc>
    <nc r="Z23">
      <f>Z24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2" sId="19" odxf="1" dxf="1">
    <oc r="AA23">
      <f>AA24</f>
    </oc>
    <nc r="AA23">
      <f>AA24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3" sId="19" odxf="1" dxf="1">
    <oc r="AB23">
      <f>AB24</f>
    </oc>
    <nc r="AB23">
      <f>AB24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4" sId="19" odxf="1" dxf="1">
    <oc r="AC23">
      <f>AC24</f>
    </oc>
    <nc r="AC23">
      <f>AC24</f>
    </nc>
    <odxf>
      <fill>
        <patternFill patternType="none">
          <bgColor indexed="65"/>
        </patternFill>
      </fill>
    </odxf>
    <ndxf>
      <fill>
        <patternFill patternType="solid">
          <bgColor theme="0"/>
        </patternFill>
      </fill>
    </ndxf>
  </rcc>
  <rcc rId="995" sId="19" odxf="1" dxf="1">
    <oc r="AD23">
      <f>AD24</f>
    </oc>
    <nc r="AD23">
      <f>AD24</f>
    </nc>
    <odxf>
      <fill>
        <patternFill patternType="none">
          <bgColor indexed="65"/>
        </patternFill>
      </fill>
    </odxf>
    <ndxf>
      <fill>
        <patternFill patternType="solid">
          <bgColor theme="0"/>
        </patternFill>
      </fill>
    </ndxf>
  </rcc>
  <rcc rId="996" sId="19" odxf="1" dxf="1">
    <oc r="AE23">
      <f>AE24</f>
    </oc>
    <nc r="AE23">
      <f>AE24</f>
    </nc>
    <odxf>
      <fill>
        <patternFill patternType="none">
          <bgColor indexed="65"/>
        </patternFill>
      </fill>
    </odxf>
    <ndxf>
      <fill>
        <patternFill patternType="solid">
          <bgColor theme="0"/>
        </patternFill>
      </fill>
    </ndxf>
  </rcc>
  <rcc rId="997" sId="19" odxf="1" dxf="1">
    <oc r="AF23">
      <f>AF24</f>
    </oc>
    <nc r="AF23">
      <f>AF24</f>
    </nc>
    <odxf>
      <fill>
        <patternFill patternType="none">
          <bgColor indexed="65"/>
        </patternFill>
      </fill>
    </odxf>
    <ndxf>
      <fill>
        <patternFill patternType="solid">
          <bgColor theme="0"/>
        </patternFill>
      </fill>
    </ndxf>
  </rcc>
  <rcc rId="998" sId="19" odxf="1" dxf="1">
    <oc r="AG23">
      <f>AG24</f>
    </oc>
    <nc r="AG23">
      <f>AG24</f>
    </nc>
    <odxf>
      <fill>
        <patternFill patternType="none">
          <bgColor indexed="65"/>
        </patternFill>
      </fill>
    </odxf>
    <ndxf>
      <fill>
        <patternFill patternType="solid">
          <bgColor theme="0"/>
        </patternFill>
      </fill>
    </ndxf>
  </rcc>
  <rfmt sheetId="19" sqref="J24" start="0" length="0">
    <dxf>
      <font>
        <sz val="12"/>
        <color auto="1"/>
        <name val="Times New Roman"/>
        <scheme val="none"/>
      </font>
    </dxf>
  </rfmt>
  <rfmt sheetId="19" sqref="K24" start="0" length="0">
    <dxf>
      <font>
        <sz val="12"/>
        <color auto="1"/>
        <name val="Times New Roman"/>
        <scheme val="none"/>
      </font>
    </dxf>
  </rfmt>
  <rfmt sheetId="19" sqref="L24" start="0" length="0">
    <dxf>
      <font>
        <sz val="12"/>
        <color auto="1"/>
        <name val="Times New Roman"/>
        <scheme val="none"/>
      </font>
    </dxf>
  </rfmt>
  <rfmt sheetId="19" sqref="M24" start="0" length="0">
    <dxf>
      <font>
        <sz val="12"/>
        <color auto="1"/>
        <name val="Times New Roman"/>
        <scheme val="none"/>
      </font>
    </dxf>
  </rfmt>
  <rfmt sheetId="19" sqref="N24" start="0" length="0">
    <dxf>
      <font>
        <sz val="12"/>
        <color auto="1"/>
        <name val="Times New Roman"/>
        <scheme val="none"/>
      </font>
    </dxf>
  </rfmt>
  <rcc rId="999" sId="19" odxf="1" dxf="1" numFmtId="4">
    <oc r="O24">
      <v>9821.13472</v>
    </oc>
    <nc r="O24">
      <v>9820.1337199999998</v>
    </nc>
    <odxf>
      <font>
        <sz val="12"/>
        <color auto="1"/>
        <name val="Times New Roman"/>
        <scheme val="none"/>
      </font>
    </odxf>
    <ndxf>
      <font>
        <sz val="12"/>
        <color auto="1"/>
        <name val="Times New Roman"/>
        <scheme val="none"/>
      </font>
    </ndxf>
  </rcc>
  <rcc rId="1000" sId="19" odxf="1" dxf="1" numFmtId="4">
    <oc r="P24">
      <v>12331.16624</v>
    </oc>
    <nc r="P24">
      <v>12370.266240000001</v>
    </nc>
    <odxf>
      <font>
        <sz val="12"/>
        <color auto="1"/>
        <name val="Times New Roman"/>
        <scheme val="none"/>
      </font>
    </odxf>
    <ndxf>
      <font>
        <sz val="12"/>
        <color auto="1"/>
        <name val="Times New Roman"/>
        <scheme val="none"/>
      </font>
    </ndxf>
  </rcc>
  <rcc rId="1001" sId="19" odxf="1" dxf="1" numFmtId="4">
    <oc r="Q24">
      <v>0</v>
    </oc>
    <nc r="Q24">
      <v>8989.7078399999991</v>
    </nc>
    <odxf>
      <font>
        <sz val="12"/>
        <color auto="1"/>
        <name val="Times New Roman"/>
        <scheme val="none"/>
      </font>
    </odxf>
    <ndxf>
      <font>
        <sz val="12"/>
        <color auto="1"/>
        <name val="Times New Roman"/>
        <scheme val="none"/>
      </font>
    </ndxf>
  </rcc>
  <rcc rId="1002" sId="19" odxf="1" dxf="1" numFmtId="4">
    <oc r="R24">
      <v>9696.7900000000009</v>
    </oc>
    <nc r="R24">
      <v>10407.286</v>
    </nc>
    <odxf>
      <font>
        <sz val="12"/>
        <color auto="1"/>
        <name val="Times New Roman"/>
        <scheme val="none"/>
      </font>
    </odxf>
    <ndxf>
      <font>
        <sz val="12"/>
        <color auto="1"/>
        <name val="Times New Roman"/>
        <scheme val="none"/>
      </font>
    </ndxf>
  </rcc>
  <rcc rId="1003" sId="19" odxf="1" dxf="1" numFmtId="4">
    <oc r="S24">
      <v>0</v>
    </oc>
    <nc r="S24">
      <v>10470.558940000001</v>
    </nc>
    <odxf>
      <font>
        <sz val="12"/>
        <color auto="1"/>
        <name val="Times New Roman"/>
        <scheme val="none"/>
      </font>
    </odxf>
    <ndxf>
      <font>
        <sz val="12"/>
        <color auto="1"/>
        <name val="Times New Roman"/>
        <scheme val="none"/>
      </font>
    </ndxf>
  </rcc>
  <rcc rId="1004" sId="19" odxf="1" dxf="1" numFmtId="4">
    <oc r="T24">
      <v>7375.3630000000003</v>
    </oc>
    <nc r="T24">
      <v>8216.5519999999997</v>
    </nc>
    <odxf>
      <font>
        <sz val="12"/>
        <color auto="1"/>
        <name val="Times New Roman"/>
        <scheme val="none"/>
      </font>
    </odxf>
    <ndxf>
      <font>
        <sz val="12"/>
        <color auto="1"/>
        <name val="Times New Roman"/>
        <scheme val="none"/>
      </font>
    </ndxf>
  </rcc>
  <rcc rId="1005" sId="19" odxf="1" dxf="1" numFmtId="4">
    <oc r="U24">
      <v>0</v>
    </oc>
    <nc r="U24">
      <v>9882.2743200000004</v>
    </nc>
    <odxf>
      <font>
        <sz val="12"/>
        <color auto="1"/>
        <name val="Times New Roman"/>
        <scheme val="none"/>
      </font>
    </odxf>
    <ndxf>
      <font>
        <sz val="12"/>
        <color auto="1"/>
        <name val="Times New Roman"/>
        <scheme val="none"/>
      </font>
    </ndxf>
  </rcc>
  <rcc rId="1006" sId="19" odxf="1" dxf="1" numFmtId="4">
    <oc r="V24">
      <v>12997.514999999999</v>
    </oc>
    <nc r="V24">
      <v>13570.646000000001</v>
    </nc>
    <odxf>
      <font>
        <sz val="12"/>
        <color auto="1"/>
        <name val="Times New Roman"/>
        <scheme val="none"/>
      </font>
    </odxf>
    <ndxf>
      <font>
        <sz val="12"/>
        <color auto="1"/>
        <name val="Times New Roman"/>
        <scheme val="none"/>
      </font>
    </ndxf>
  </rcc>
  <rcc rId="1007" sId="19" odxf="1" dxf="1" numFmtId="4">
    <oc r="W24">
      <v>0</v>
    </oc>
    <nc r="W24">
      <v>10649.06753</v>
    </nc>
    <odxf>
      <font>
        <sz val="12"/>
        <color auto="1"/>
        <name val="Times New Roman"/>
        <scheme val="none"/>
      </font>
    </odxf>
    <ndxf>
      <font>
        <sz val="12"/>
        <color auto="1"/>
        <name val="Times New Roman"/>
        <scheme val="none"/>
      </font>
    </ndxf>
  </rcc>
  <rcc rId="1008" sId="19" odxf="1" dxf="1" numFmtId="4">
    <oc r="X24">
      <v>9988.0630000000001</v>
    </oc>
    <nc r="X24">
      <v>10001.063</v>
    </nc>
    <odxf>
      <font>
        <sz val="12"/>
        <color auto="1"/>
        <name val="Times New Roman"/>
        <scheme val="none"/>
      </font>
    </odxf>
    <ndxf>
      <font>
        <sz val="12"/>
        <color auto="1"/>
        <name val="Times New Roman"/>
        <scheme val="none"/>
      </font>
    </ndxf>
  </rcc>
  <rcc rId="1009" sId="19" odxf="1" dxf="1" numFmtId="4">
    <oc r="Y24">
      <v>0</v>
    </oc>
    <nc r="Y24">
      <v>8164.5059000000001</v>
    </nc>
    <odxf>
      <font>
        <sz val="12"/>
        <color auto="1"/>
        <name val="Times New Roman"/>
        <scheme val="none"/>
      </font>
    </odxf>
    <ndxf>
      <font>
        <sz val="12"/>
        <color auto="1"/>
        <name val="Times New Roman"/>
        <scheme val="none"/>
      </font>
    </ndxf>
  </rcc>
  <rcc rId="1010" sId="19" odxf="1" dxf="1" numFmtId="4">
    <oc r="Z24">
      <v>7200.07</v>
    </oc>
    <nc r="Z24">
      <v>8268.0120000000006</v>
    </nc>
    <odxf>
      <font>
        <sz val="12"/>
        <color auto="1"/>
        <name val="Times New Roman"/>
        <scheme val="none"/>
      </font>
    </odxf>
    <ndxf>
      <font>
        <sz val="12"/>
        <color auto="1"/>
        <name val="Times New Roman"/>
        <scheme val="none"/>
      </font>
    </ndxf>
  </rcc>
  <rcc rId="1011" sId="19" odxf="1" dxf="1" numFmtId="4">
    <oc r="AA24">
      <v>0</v>
    </oc>
    <nc r="AA24">
      <v>14224.37054</v>
    </nc>
    <odxf>
      <font>
        <sz val="12"/>
        <color auto="1"/>
        <name val="Times New Roman"/>
        <scheme val="none"/>
      </font>
    </odxf>
    <ndxf>
      <font>
        <sz val="12"/>
        <color auto="1"/>
        <name val="Times New Roman"/>
        <scheme val="none"/>
      </font>
    </ndxf>
  </rcc>
  <rcc rId="1012" sId="19" odxf="1" dxf="1" numFmtId="4">
    <oc r="AB24">
      <v>8959.8719999999994</v>
    </oc>
    <nc r="AB24">
      <v>9918.3639999999996</v>
    </nc>
    <odxf>
      <font>
        <sz val="12"/>
        <color auto="1"/>
        <name val="Times New Roman"/>
        <scheme val="none"/>
      </font>
    </odxf>
    <ndxf>
      <font>
        <sz val="12"/>
        <color auto="1"/>
        <name val="Times New Roman"/>
        <scheme val="none"/>
      </font>
    </ndxf>
  </rcc>
  <rcc rId="1013" sId="19" numFmtId="4">
    <oc r="AC24">
      <v>0</v>
    </oc>
    <nc r="AC24">
      <v>9543.6710700000003</v>
    </nc>
  </rcc>
  <rcc rId="1014" sId="19" odxf="1" dxf="1" numFmtId="4">
    <oc r="AD24">
      <v>8171.8649999999998</v>
    </oc>
    <nc r="AD24">
      <v>8766.0938900000001</v>
    </nc>
    <odxf>
      <font>
        <sz val="12"/>
        <color auto="1"/>
        <name val="Times New Roman"/>
        <scheme val="none"/>
      </font>
    </odxf>
    <ndxf>
      <font>
        <sz val="12"/>
        <color auto="1"/>
        <name val="Times New Roman"/>
        <scheme val="none"/>
      </font>
    </ndxf>
  </rcc>
  <rcc rId="1015" sId="19" numFmtId="4">
    <oc r="AF24">
      <v>8912.1149999999998</v>
    </oc>
    <nc r="AF24">
      <v>4950.2039999999997</v>
    </nc>
  </rcc>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4" sId="19" numFmtId="19">
    <oc r="E6">
      <v>45689</v>
    </oc>
    <nc r="E6">
      <v>45962</v>
    </nc>
  </rcc>
  <rcc rId="1025" sId="19" numFmtId="19">
    <oc r="F6">
      <v>45689</v>
    </oc>
    <nc r="F6">
      <v>45962</v>
    </nc>
  </rcc>
  <rcc rId="1026" sId="19" numFmtId="19">
    <oc r="G6">
      <v>45689</v>
    </oc>
    <nc r="G6">
      <v>45962</v>
    </nc>
  </rcc>
  <rcc rId="1027" sId="19">
    <oc r="E9">
      <f>J9+L9+N9</f>
    </oc>
    <nc r="E9">
      <f>J9+L9+N9+P9+R9+T9+V9+X9+Z9+AB9</f>
    </nc>
  </rcc>
  <rcc rId="1028" sId="19">
    <oc r="E10">
      <f>J10+L10+N10</f>
    </oc>
    <nc r="E10">
      <f>J10+L10+N10+P10+R10+T10+V10+X10+Z10+AB10</f>
    </nc>
  </rcc>
  <rcc rId="1029" sId="19">
    <oc r="E11">
      <f>J11+L11+N11</f>
    </oc>
    <nc r="E11">
      <f>J11+L11+N11+P11+R11+T11+V11+X11+Z11+AB11</f>
    </nc>
  </rcc>
  <rcc rId="1030" sId="19">
    <oc r="E14">
      <f>J14+L14+N14</f>
    </oc>
    <nc r="E14">
      <f>J14+L14+N14+P14+R14+T14+V14+X14+Z14+AB14</f>
    </nc>
  </rcc>
  <rfmt sheetId="19" sqref="E17">
    <dxf>
      <fill>
        <patternFill patternType="solid">
          <bgColor rgb="FFFFFF00"/>
        </patternFill>
      </fill>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qref="E6:F6" start="0" length="2147483647">
    <dxf>
      <font>
        <color auto="1"/>
      </font>
    </dxf>
  </rfmt>
  <rcc rId="1039" sId="19" odxf="1" dxf="1">
    <oc r="E17">
      <f>J17+L17+N17</f>
    </oc>
    <nc r="E17">
      <f>J17+L17+N17+P17+R17+T17+V17+X17+Z17+AB17</f>
    </nc>
    <ndxf>
      <fill>
        <patternFill patternType="none">
          <bgColor indexed="65"/>
        </patternFill>
      </fill>
    </ndxf>
  </rcc>
  <rcc rId="1040" sId="19">
    <oc r="E19">
      <f>J19+L19+N19</f>
    </oc>
    <nc r="E19">
      <f>J19+L19+N19+P19+R19+T19+V19+X19+Z19+AB19</f>
    </nc>
  </rcc>
  <rcc rId="1041" sId="19">
    <oc r="E20">
      <f>J20+L20+N20</f>
    </oc>
    <nc r="E20">
      <f>J20+L20+N20+P20+R20+T20+V20+X20+Z20+AB20</f>
    </nc>
  </rcc>
  <rcc rId="1042" sId="19">
    <oc r="E21">
      <f>J21</f>
    </oc>
    <nc r="E21">
      <f>J21+L21+N21+P21+R21+T21+V21+X21+Z21+AB21</f>
    </nc>
  </rcc>
  <rcc rId="1043" sId="19">
    <oc r="E24">
      <f>J24+L24+N24</f>
    </oc>
    <nc r="E24">
      <f>J24+L24+N24+P24+R24+T24+V24+X24+Z24+AB24</f>
    </nc>
  </rcc>
  <rfmt sheetId="19" sqref="D16" start="0" length="2147483647">
    <dxf>
      <font>
        <color auto="1"/>
      </font>
    </dxf>
  </rfmt>
  <rfmt sheetId="19" sqref="D13" start="0" length="2147483647">
    <dxf>
      <font>
        <color auto="1"/>
      </font>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1" sqref="AH13" start="0" length="0">
    <dxf>
      <font>
        <b val="0"/>
        <sz val="11"/>
        <color theme="1"/>
        <name val="Calibri"/>
        <scheme val="minor"/>
      </font>
      <alignment vertical="bottom" wrapText="0" readingOrder="0"/>
      <border outline="0">
        <left/>
        <right/>
        <top/>
        <bottom/>
      </border>
    </dxf>
  </rfmt>
  <rcc rId="1052" sId="19" xfDxf="1" dxf="1">
    <nc r="AH13" t="inlineStr">
      <is>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is>
    </nc>
    <ndxf>
      <font>
        <sz val="12"/>
        <name val="Times New Roman"/>
        <scheme val="none"/>
      </font>
    </ndxf>
  </rcc>
  <rfmt sheetId="19" sqref="AH13">
    <dxf>
      <alignment wrapText="1" readingOrder="0"/>
    </dxf>
  </rfmt>
  <rfmt sheetId="19" sqref="AH13" start="0" length="0">
    <dxf>
      <border>
        <left style="thin">
          <color indexed="64"/>
        </left>
        <right style="thin">
          <color indexed="64"/>
        </right>
        <top style="thin">
          <color indexed="64"/>
        </top>
        <bottom style="thin">
          <color indexed="64"/>
        </bottom>
      </border>
    </dxf>
  </rfmt>
  <rfmt sheetId="19" sqref="AH13">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3">
    <dxf>
      <alignment horizontal="center" readingOrder="0"/>
    </dxf>
  </rfmt>
  <rfmt sheetId="19" sqref="AH13">
    <dxf>
      <alignment vertical="center" readingOrder="0"/>
    </dxf>
  </rfmt>
  <rfmt sheetId="19" s="1" sqref="AH16" start="0" length="0">
    <dxf>
      <font>
        <b val="0"/>
        <sz val="11"/>
        <color theme="1"/>
        <name val="Calibri"/>
        <scheme val="minor"/>
      </font>
      <alignment vertical="bottom" wrapText="0" readingOrder="0"/>
      <border outline="0">
        <left/>
        <right/>
        <top/>
        <bottom/>
      </border>
    </dxf>
  </rfmt>
  <rfmt sheetId="19" s="1" sqref="AH17" start="0" length="0">
    <dxf>
      <font>
        <sz val="11"/>
        <color theme="1"/>
        <name val="Calibri"/>
        <scheme val="minor"/>
      </font>
      <alignment vertical="bottom" wrapText="0" readingOrder="0"/>
      <border outline="0">
        <left/>
        <right/>
        <top/>
        <bottom/>
      </border>
    </dxf>
  </rfmt>
  <rcc rId="1053" sId="19" xfDxf="1" dxf="1">
    <nc r="AH16" t="inlineStr">
      <is>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rder>
    </ndxf>
  </rcc>
  <rcc rId="1054" sId="19" xfDxf="1" dxf="1">
    <nc r="AH17" t="inlineStr">
      <is>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ttom style="medium">
          <color rgb="FF000000"/>
        </bottom>
      </border>
    </ndxf>
  </rcc>
  <rfmt sheetId="19" s="1" sqref="AH18" start="0" length="0">
    <dxf>
      <font>
        <b val="0"/>
        <sz val="11"/>
        <color theme="1"/>
        <name val="Calibri"/>
        <scheme val="minor"/>
      </font>
      <alignment vertical="bottom" wrapText="0" readingOrder="0"/>
      <border outline="0">
        <left/>
        <right/>
        <top/>
        <bottom/>
      </border>
    </dxf>
  </rfmt>
  <rcc rId="1055" sId="19" xfDxf="1" dxf="1">
    <nc r="AH18" t="inlineStr">
      <is>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is>
    </nc>
    <ndxf>
      <font>
        <sz val="12"/>
        <name val="Times New Roman"/>
        <scheme val="none"/>
      </font>
    </ndxf>
  </rcc>
  <rfmt sheetId="19" sqref="AH18">
    <dxf>
      <alignment wrapText="1" readingOrder="0"/>
    </dxf>
  </rfmt>
  <rfmt sheetId="19" sqref="AH18">
    <dxf>
      <alignment horizontal="center" readingOrder="0"/>
    </dxf>
  </rfmt>
  <rfmt sheetId="19" sqref="AH18">
    <dxf>
      <alignment vertical="center" readingOrder="0"/>
    </dxf>
  </rfmt>
  <rfmt sheetId="19" sqref="AH17" start="0" length="0">
    <dxf>
      <border>
        <left style="thin">
          <color indexed="64"/>
        </left>
        <right style="thin">
          <color indexed="64"/>
        </right>
        <top style="thin">
          <color indexed="64"/>
        </top>
        <bottom style="thin">
          <color indexed="64"/>
        </bottom>
      </border>
    </dxf>
  </rfmt>
  <rfmt sheetId="19" sqref="AH17">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8" start="0" length="0">
    <dxf>
      <border>
        <left style="thin">
          <color indexed="64"/>
        </left>
        <right style="thin">
          <color indexed="64"/>
        </right>
        <top style="thin">
          <color indexed="64"/>
        </top>
        <bottom style="thin">
          <color indexed="64"/>
        </bottom>
      </border>
    </dxf>
  </rfmt>
  <rfmt sheetId="19" sqref="AH18">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1" sqref="AH23" start="0" length="0">
    <dxf>
      <font>
        <b val="0"/>
        <sz val="11"/>
        <color theme="1"/>
        <name val="Calibri"/>
        <scheme val="minor"/>
      </font>
      <alignment vertical="bottom" wrapText="0" readingOrder="0"/>
      <border outline="0">
        <left/>
        <right/>
        <top/>
        <bottom/>
      </border>
    </dxf>
  </rfmt>
  <rcc rId="1056" sId="19" xfDxf="1" dxf="1">
    <nc r="AH23" t="inlineStr">
      <is>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is>
    </nc>
    <ndxf>
      <font>
        <sz val="12"/>
        <name val="Times New Roman"/>
        <scheme val="none"/>
      </font>
    </ndxf>
  </rcc>
  <rfmt sheetId="19" sqref="AH23">
    <dxf>
      <alignment wrapText="1" readingOrder="0"/>
    </dxf>
  </rfmt>
  <rfmt sheetId="19" sqref="AH23:AH24">
    <dxf>
      <alignment vertical="center" readingOrder="0"/>
    </dxf>
  </rfmt>
  <rfmt sheetId="19" sqref="AH23:AH24">
    <dxf>
      <alignment horizontal="center" readingOrder="0"/>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5" sId="7">
    <oc r="E15">
      <f>J15+L15+N15+P15+R15+T15+V15+X15+Z15</f>
    </oc>
    <nc r="E15">
      <f>J15+L15+N15+P15+R15+T15+V15+X15+Z15+AB15</f>
    </nc>
  </rcc>
  <rcc rId="1066" sId="7">
    <oc r="E13">
      <f>J13+L13+N13+P13+R13+T13+V13+X13+Z13</f>
    </oc>
    <nc r="E13">
      <f>J13+L13+N13+P13+R13+T13+V13+X13+Z13+AB13</f>
    </nc>
  </rcc>
  <rcc rId="1067" sId="7" numFmtId="19">
    <oc r="E6">
      <v>45931</v>
    </oc>
    <nc r="E6">
      <v>45962</v>
    </nc>
  </rcc>
  <rcc rId="1068" sId="7" numFmtId="19">
    <oc r="F6">
      <v>45931</v>
    </oc>
    <nc r="F6">
      <v>45962</v>
    </nc>
  </rcc>
  <rcc rId="1069" sId="7" numFmtId="19">
    <oc r="G6">
      <v>45931</v>
    </oc>
    <nc r="G6">
      <v>45962</v>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8" sId="18" numFmtId="19">
    <oc r="E6">
      <v>45931</v>
    </oc>
    <nc r="E6">
      <v>45962</v>
    </nc>
  </rcc>
  <rcc rId="1079" sId="18" numFmtId="19">
    <oc r="F6">
      <v>45931</v>
    </oc>
    <nc r="F6">
      <v>45962</v>
    </nc>
  </rcc>
  <rcc rId="1080" sId="18" numFmtId="19">
    <oc r="G6">
      <v>45931</v>
    </oc>
    <nc r="G6">
      <v>45962</v>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9" sId="18" numFmtId="4">
    <oc r="AC25">
      <v>0</v>
    </oc>
    <nc r="AC25">
      <v>5</v>
    </nc>
  </rcc>
  <rcc rId="1090" sId="18">
    <nc r="AH25" t="inlineStr">
      <is>
        <t>Благодарности, ручки, флаги, грамоты-СОШ №10</t>
      </is>
    </nc>
  </rcc>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1" sId="18" numFmtId="4">
    <oc r="AC25">
      <v>5</v>
    </oc>
    <nc r="AC25">
      <v>11</v>
    </nc>
  </rcc>
  <rcc rId="1092" sId="18">
    <oc r="AH25" t="inlineStr">
      <is>
        <t>Благодарности, ручки, флаги, грамоты-СОШ №10</t>
      </is>
    </oc>
    <nc r="AH25" t="inlineStr">
      <is>
        <t>Благодарности, ручки, флаги, грамоты-СОШ №10, СОШ №5</t>
      </is>
    </nc>
  </rcc>
  <rcc rId="1093" sId="18">
    <oc r="E9">
      <f>J9+L9+N9+P9+R9+T9+V9+X9+Z9</f>
    </oc>
    <nc r="E9">
      <f>J9+L9+N9+P9+R9+T9+V9+X9+Z9+AB9</f>
    </nc>
  </rcc>
  <rcc rId="1094" sId="18">
    <oc r="F9">
      <f>SUM(J9+L9+N9+P9+R9+T9+X9+Z9)</f>
    </oc>
    <nc r="F9">
      <f>SUM(J9+L9+N9+P9+R9+T9+X9+Z9+AB9)</f>
    </nc>
  </rcc>
  <rcc rId="1095" sId="18">
    <oc r="E25">
      <f>J25+L25+N25+P25+R25+T25+V25+X25+Z25</f>
    </oc>
    <nc r="E25">
      <f>J25+L25+N25+P25+R25+T25+V25+X25+Z25+AB25</f>
    </nc>
  </rcc>
  <rcc rId="1096" sId="18">
    <oc r="E30">
      <f>J30+L30+N30+P30+R30+T30+V30+X30+Z30</f>
    </oc>
    <nc r="E30">
      <f>J30+L30+N30+P30+R30+T30+V30+X30+Z30+AB30</f>
    </nc>
  </rcc>
  <rcc rId="1097" sId="18">
    <oc r="E27">
      <f>J27+L27+N27+P27+R27+T27+V27+X27+Z27</f>
    </oc>
    <nc r="E27">
      <f>J27+L27+N27+P27+R27+T27+V27+X27+Z27+AB27</f>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8" sId="4" numFmtId="4">
    <oc r="AA59">
      <v>0</v>
    </oc>
    <nc r="AA59">
      <v>10190.243</v>
    </nc>
  </rcc>
  <rcc rId="1099" sId="4" numFmtId="4">
    <oc r="AA60">
      <v>0</v>
    </oc>
    <nc r="AA60">
      <v>1235.5239999999999</v>
    </nc>
  </rcc>
  <rcc rId="1100" sId="4" numFmtId="4">
    <oc r="AC59">
      <v>0</v>
    </oc>
    <nc r="AC59">
      <v>13656.109</v>
    </nc>
  </rcc>
  <rcc rId="1101" sId="4" numFmtId="4">
    <oc r="AC60">
      <v>0</v>
    </oc>
    <nc r="AC60">
      <v>1461.0329999999999</v>
    </nc>
  </rcc>
  <rcc rId="1102" sId="4" odxf="1" dxf="1">
    <oc r="AH60" t="inlineStr">
      <is>
        <t>Отклонение - 4761,996 тыс. руб., в том числе: 1157,424 тыс. руб. - оплата труда, 10,0 тыс. руб.  - материальная помощь к юбилейной дате, 69,952тыс. руб. - суточные, проезд, проживание при служ. командировках,  355,522тыс. руб. - начисление на оплату труда, 5,926тыс. руб. - услуги связи, 13,700 тыс. руб. - транспортные услуги, 377,714 тыс. руб. - коммунальные платежи, 14,219 - дезинсекция, дератизация в МЦ "Метро", 100,0 тыс. руб. - предусмотрено на стирку скатертей, 106,435 тыс. руб. - техническое обсуживание системы видеонаблюдения и кассовых аппаратов, 372,785 тыс. руб. - текущий ремонт, 74,75 тыс. руб. - предусмотрены договоры ГПХ на мойку посуды, 23,848 тыс. руб. - санитарно-эпидемиологическое обследование баров, 874,457 тыс. руб. -прочие расходы, 28,19 тыс. руб.- приобретение основных средств,   702,473 тыс. руб.- продукты питания, 175,764 тыс. руб. - прочие приобретения и призы, 298,837тыс. руб. - оплата налогов.</t>
      </is>
    </oc>
    <nc r="AH60" t="inlineStr">
      <is>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is>
    </nc>
    <odxf>
      <font>
        <sz val="12"/>
        <color auto="1"/>
        <name val="Times New Roman"/>
        <scheme val="none"/>
      </font>
      <border outline="0">
        <bottom style="thin">
          <color indexed="64"/>
        </bottom>
      </border>
    </odxf>
    <ndxf>
      <font>
        <sz val="14"/>
        <color auto="1"/>
        <name val="Times New Roman"/>
        <scheme val="none"/>
      </font>
      <border outline="0">
        <bottom/>
      </border>
    </ndxf>
  </rcc>
  <rfmt sheetId="4" sqref="AH60" start="0" length="2147483647">
    <dxf>
      <font>
        <sz val="12"/>
      </font>
    </dxf>
  </rfmt>
  <rcc rId="1103" sId="4">
    <oc r="AH59" t="inlineStr">
      <is>
        <t>Отклонение - 12032,148 тыс. руб., в том числе 6392,285 тыс. руб. - заработная плата, 19,219 тыс. руб. - оплата 3-х дней больничного за счет средств работодателя, 68,222 тыс. руб. -соц. выплата в связи с выходом на пенсию, 6,812 тыс. руб. - медосмотр при приеме на работу, 1746,055 тыс. руб. - начисление на выплаты по оплате труда, 91,705тыс. руб. - услуги связи, 0,289 тыс. руб. - транспортные расходы, 23,781тыс. руб. - механизированная уборка и вывоз снега; 295,692 тыс. руб. -  техническое обслуживание зданий, 59,117 тыс. руб. - противопожарное обслуживание, 50,0 тыс. руб. - обследование помещений в рамках производственного контроля,  584,737тыс. руб. - услуги охраны, 1,915 тыс. руб. - оплата аренды земли под складом,  643,748тыс.  - теплоснабжение, 552,553 тыс. руб. - энергоснабжение; 8,296тыс. руб. - водопотребление, 699,729 тыс. руб. - налоги, 501,013 тыс руб. - содержание объекта благоустройства Набережная реки Ингу-Ягун., 188,980 тыс. руб. - оплата льготного проезда, 98,0 тыс. руб. - оплата путевок.</t>
      </is>
    </oc>
    <nc r="AH59" t="inlineStr">
      <is>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is>
    </nc>
  </rcc>
  <rcc rId="1104" sId="4">
    <oc r="AH61" t="inlineStr">
      <is>
        <t>Отклонение -3295,186 тыс.руб. - в том числе: 121,360 тыс. руб. - расходы в рамках участия в конкурсах-фестивалях не выплачивались в связи с переносом конкурса, 77,805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20,792 тыс. руб.   -  оплата за участие в конкурсе-фестивале не производилась (перенос конкурса на более поздние сроки), 103,0 тыс. руб. - оплата за установку сцены и подключение электроэнергии не производилась,  115,600 руб. - поставка картриджей в рамках Дня города, 33,497 тыс. руб. -оплата за прочие расходы в рамках Дня города, 3,126 тыс. руб. - документы на потребление электроэнергии Снежного городка предоставлены на меньшую сумму, 43,0 тыс. руб. - аренда палаток на мер "День города", 47,940 тыс. руб. - содержание в чистоте туалетных кабинок в рамках Дня города,  2548,960 - прочие расходы в рамках Дня города, туристического слета в этнодеревне, 4,506 тыс. руб. - оплата по мастер-классам в рамках проведения мер. "Юнтагор" сложилась ниже, 165,600 руб. - баннерная продукция в рамках Дня города Когалыма</t>
      </is>
    </oc>
    <nc r="AH61">
      <f>'N:\УК\- ОТДЕЛ КУЛЬТУРЫ -\СЕТЕВЫЕ ГРАФИКИ И ТЕХЗАДАНИЯ\2025\Культурное пространство\1. АРТ\10. октябрь\[Сетевые графики на 01.11.2025.xlsx]разв.кул.'!$AF$18</f>
    </nc>
  </rcc>
  <rcc rId="1105" sId="4" numFmtId="4">
    <oc r="AC61">
      <f>AC62</f>
    </oc>
    <nc r="AC61">
      <f>AC62</f>
    </nc>
  </rcc>
  <rcc rId="1106" sId="4" numFmtId="4">
    <oc r="AC62">
      <v>0</v>
    </oc>
    <nc r="AC62">
      <f>'N:\УК\- ОТДЕЛ КУЛЬТУРЫ -\СЕТЕВЫЕ ГРАФИКИ И ТЕХЗАДАНИЯ\2025\Культурное пространство\1. АРТ\10. октябрь\[Сетевые графики на 01.11.2025.xlsx]разв.кул.'!$AA$21</f>
    </nc>
  </rcc>
  <rcc rId="1107" sId="4">
    <oc r="AH65" t="inlineStr">
      <is>
        <t>АРТ - Отклонение 58719,721 тыс.руб., в том числе: 43 825,870 тыс. руб.  - на проведение юбилейных мероприятий (НК "ЛУКОЙЛ"), 703,561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10399,692 тыс. руб. -70% по праздничному мероприятию; 179,261 тыс. руб. - 30% по встрече гостей  аэропорту; 24,423 тыс. руб. - экономия по шатрам, столам; 70,0 тыс. руб. костюмы "Юнтагор", 2964,105 - консоли светодиодные, 354,601 тыс. руб. - ростовые куклы.                                                  МВЦ -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is>
    </oc>
    <nc r="AH65" t="inlineStr">
      <is>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is>
    </nc>
  </rcc>
  <rcc rId="1108" sId="4">
    <oc r="AH76" t="inlineStr">
      <is>
        <t>АРТ - Отклонение 6803,036 тыс.руб. - сборно-разборный сценический комплекс поступил в нерабочем состоянии.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t="inlineStr">
      <is>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cc rId="64" sId="8">
    <o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5 жилых помещений общей площадью 165,1кв.м на сумму 17522,34тыс.руб. </t>
        </r>
      </is>
    </oc>
    <n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is>
    </nc>
  </rcc>
  <rcc rId="65" sId="8" numFmtId="4">
    <oc r="Y25">
      <v>0</v>
    </oc>
    <nc r="Y25">
      <v>3297.21</v>
    </nc>
  </rcc>
  <rcc rId="66" sId="8" numFmtId="4">
    <oc r="W26">
      <v>0</v>
    </oc>
    <nc r="W26">
      <v>326.10000000000002</v>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5" sId="18" numFmtId="4">
    <oc r="AC25">
      <v>11</v>
    </oc>
    <nc r="AC25">
      <v>0</v>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4" sId="18" numFmtId="4">
    <oc r="AA23">
      <v>9</v>
    </oc>
    <nc r="AA23">
      <v>0</v>
    </nc>
  </rcc>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5" sId="18">
    <oc r="AH25" t="inlineStr">
      <is>
        <t>Благодарности, ручки, флаги, грамоты-СОШ №10, СОШ №5</t>
      </is>
    </oc>
    <nc r="AH25"/>
  </rcc>
  <rcc rId="1136" sId="18">
    <oc r="AH32" t="inlineStr">
      <is>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is>
    </oc>
    <nc r="AH32" t="inlineStr">
      <is>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t>
      </is>
    </nc>
  </rcc>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7" sId="18">
    <oc r="AH27" t="inlineStr">
      <is>
        <t>Договор заключен, оплата будет после поставки товара.</t>
      </is>
    </oc>
    <nc r="AH27"/>
  </rcc>
</revisions>
</file>

<file path=xl/revisions/revisionLog1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8" sId="18" numFmtId="19">
    <oc r="E6">
      <v>45962</v>
    </oc>
    <nc r="E6">
      <v>45839</v>
    </nc>
  </rcc>
  <rcc rId="1139" sId="18" numFmtId="19">
    <oc r="F6">
      <v>45962</v>
    </oc>
    <nc r="F6">
      <v>45839</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 sId="8" numFmtId="4">
    <oc r="Y22">
      <v>0</v>
    </oc>
    <nc r="Y22">
      <v>243.65</v>
    </nc>
  </rcc>
  <rcc rId="68" sId="8" numFmtId="4">
    <oc r="Y23">
      <v>0</v>
    </oc>
    <nc r="Y23">
      <v>24.1</v>
    </nc>
  </rcc>
  <rcc rId="69" sId="8" numFmtId="4">
    <oc r="Y52">
      <v>0</v>
    </oc>
    <nc r="Y52">
      <v>505.92</v>
    </nc>
  </rcc>
  <rfmt sheetId="8" sqref="B51:B52" start="0" length="2147483647">
    <dxf>
      <font>
        <color auto="1"/>
      </font>
    </dxf>
  </rfmt>
  <rcc rId="70" sId="8" numFmtId="4">
    <oc r="X22">
      <v>0</v>
    </oc>
    <nc r="X22">
      <v>243.65</v>
    </nc>
  </rcc>
  <rcc rId="71" sId="8" numFmtId="4">
    <oc r="X23">
      <v>0</v>
    </oc>
    <nc r="X23">
      <v>24.1</v>
    </nc>
  </rcc>
  <rcc rId="72" sId="8" numFmtId="4">
    <oc r="AB23">
      <v>425.1</v>
    </oc>
    <nc r="AB23">
      <f>425.1+490</f>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8" numFmtId="19">
    <oc r="E6">
      <v>45901</v>
    </oc>
    <nc r="E6">
      <v>45931</v>
    </nc>
  </rcc>
  <rcc rId="74" sId="8" numFmtId="19">
    <oc r="F6">
      <v>45901</v>
    </oc>
    <nc r="F6">
      <v>45931</v>
    </nc>
  </rcc>
  <rcc rId="75" sId="8" numFmtId="19">
    <oc r="G6">
      <v>45901</v>
    </oc>
    <nc r="G6">
      <v>45931</v>
    </nc>
  </rcc>
  <rcc rId="76" sId="8">
    <oc r="E9">
      <f>J9+L9+N9+P9+R9+T9+V9+X9</f>
    </oc>
    <nc r="E9">
      <f>J9+L9+N9+P9+R9+T9+V9+X9+Z9</f>
    </nc>
  </rcc>
  <rcc rId="77" sId="8">
    <oc r="E10">
      <f>J10+L10+N10+P10+R10+T10+V10+X10</f>
    </oc>
    <nc r="E10">
      <f>J10+L10+N10+P10+R10+T10+V10+X10+Z10</f>
    </nc>
  </rcc>
  <rcc rId="78" sId="8">
    <oc r="E11">
      <f>J11+L11+N11+P11+R11+T11+V11+X11</f>
    </oc>
    <nc r="E11">
      <f>J11+L11+N11+P11+R11+T11+V11+X11+Z11</f>
    </nc>
  </rcc>
  <rcc rId="79" sId="8">
    <oc r="E14">
      <f>J14+L14+N14+P14+R14+T14+V14+X14</f>
    </oc>
    <nc r="E14">
      <f>J14+L14+N14+P14+R14+T14+V14+X14+Z14</f>
    </nc>
  </rcc>
  <rcc rId="80" sId="8">
    <oc r="E15">
      <f>J15+L15+N15+P15+R15+T15+V15+X15</f>
    </oc>
    <nc r="E15">
      <f>J15+L15+N15+P15+R15+T15+V15+X15+Z15</f>
    </nc>
  </rcc>
  <rcc rId="81" sId="8">
    <oc r="E16">
      <f>J16+L16+N16+P16+R16+T16+V16+X16</f>
    </oc>
    <nc r="E16">
      <f>J16+L16+N16+P16+R16+T16+V16+X16+Z16</f>
    </nc>
  </rcc>
  <rcc rId="82" sId="8">
    <oc r="E19">
      <f>J19+L19+N19+P19+R19+T19+V19+X19</f>
    </oc>
    <nc r="E19">
      <f>J19+L19+N19+P19+R19+T19+V19+X19+Z19</f>
    </nc>
  </rcc>
  <rcc rId="83" sId="8">
    <oc r="E20">
      <f>J20+L20+N20+P20+R20+T20+V20+X20</f>
    </oc>
    <nc r="E20">
      <f>J20+L20+N20+P20+R20+T20+V20+X20+Z20</f>
    </nc>
  </rcc>
  <rcc rId="84" sId="8">
    <oc r="E22">
      <f>J22+L22+N22+P22+R22+T22+V22+X22</f>
    </oc>
    <nc r="E22">
      <f>J22+L22+N22+P22+R22+T22+V22+X22+Z22</f>
    </nc>
  </rcc>
  <rcc rId="85" sId="8">
    <oc r="E23">
      <f>J23+L23+N23+P23+R23+T23+V23+X23</f>
    </oc>
    <nc r="E23">
      <f>J23+L23+N23+P23+R23+T23+V23+X23+Z23</f>
    </nc>
  </rcc>
  <rcc rId="86" sId="8">
    <oc r="E25">
      <f>J25+L25+N25+P25+R25+T25+V25+X25</f>
    </oc>
    <nc r="E25">
      <f>J25+L25+N25+P25+R25+T25+V25+X25+Z25</f>
    </nc>
  </rcc>
  <rcc rId="87" sId="8">
    <oc r="E26">
      <f>J26+L26+N26+P26+R26+T26+V26+X26</f>
    </oc>
    <nc r="E26">
      <f>J26+L26+N26+P26+R26+T26+V26+X26+Z26</f>
    </nc>
  </rcc>
  <rcc rId="88" sId="8">
    <oc r="E28">
      <f>J28+L28+N28+P28+R28+T28+V28+X28</f>
    </oc>
    <nc r="E28">
      <f>J28+L28+N28+P28+R28+T28+V28+X28+Z28</f>
    </nc>
  </rcc>
  <rcc rId="89" sId="8">
    <oc r="E29">
      <f>J29+L29+N29+P29+R29+T29+V29+X29</f>
    </oc>
    <nc r="E29">
      <f>J29+L29+N29+P29+R29+T29+V29+X29+Z29</f>
    </nc>
  </rcc>
  <rcc rId="90" sId="8">
    <oc r="E31">
      <f>J31+L31+N31+P31+R31+T31+V31+X31</f>
    </oc>
    <nc r="E31">
      <f>J31+L31+N31+P31+R31+T31+V31+X31+Z31</f>
    </nc>
  </rcc>
  <rcc rId="91" sId="8">
    <oc r="E32">
      <f>J32+L32+N32+P32+R32+T32+V32+X32</f>
    </oc>
    <nc r="E32">
      <f>J32+L32+N32+P32+R32+T32+V32+X32+Z32</f>
    </nc>
  </rcc>
  <rcc rId="92" sId="8">
    <oc r="E35">
      <f>J35+L35+N35+P35+R35+T35+V35+X35</f>
    </oc>
    <nc r="E35">
      <f>J35+L35+N35+P35+R35+T35+V35+X35+Z35</f>
    </nc>
  </rcc>
  <rcc rId="93" sId="8">
    <oc r="E36">
      <f>J36+L36+N36+P36+R36+T36+V36+X36</f>
    </oc>
    <nc r="E36">
      <f>J36+L36+N36+P36+R36+T36+V36+X36+Z36</f>
    </nc>
  </rcc>
  <rcc rId="94" sId="8">
    <oc r="E37">
      <f>J37+L37+N37+P37+R37+T37+V37+X37</f>
    </oc>
    <nc r="E37">
      <f>J37+L37+N37+P37+R37+T37+V37+X37+Z37</f>
    </nc>
  </rcc>
  <rcc rId="95" sId="8">
    <oc r="E39">
      <f>J39+L39+N39+P39+R39+T39+V39+X39</f>
    </oc>
    <nc r="E39">
      <f>J39+L39+N39+P39+R39+T39+V39+X39+Z39</f>
    </nc>
  </rcc>
  <rcc rId="96" sId="8">
    <oc r="E41">
      <f>J41+L41+N41+P41+R41+T41+V41+X41</f>
    </oc>
    <nc r="E41">
      <f>J41+L41+N41+P41+R41+T41+V41+X41+Z41</f>
    </nc>
  </rcc>
  <rcc rId="97" sId="8">
    <oc r="E43">
      <f>J43+L43+N43+P43+R43+T43+V43+X43</f>
    </oc>
    <nc r="E43">
      <f>J43+L43+N43+P43+R43+T43+V43+X43+Z43</f>
    </nc>
  </rcc>
  <rcc rId="98" sId="8">
    <oc r="E44">
      <f>J44+L44+N44+P44+R44+T44+V44+X44</f>
    </oc>
    <nc r="E44">
      <f>J44+L44+N44+P44+R44+T44+V44+X44+Z44</f>
    </nc>
  </rcc>
  <rcc rId="99" sId="8">
    <oc r="E46">
      <f>J46+L46+N46+P46+R46+T46+V46+X46</f>
    </oc>
    <nc r="E46">
      <f>J46+L46+N46+P46+R46+T46+V46+X46+Z46</f>
    </nc>
  </rcc>
  <rcc rId="100" sId="8">
    <oc r="E47">
      <f>J47+L47+N47+P47+R47+T47+V47+X47</f>
    </oc>
    <nc r="E47">
      <f>J47+L47+N47+P47+R47+T47+V47+X47+Z47</f>
    </nc>
  </rcc>
  <rcc rId="101" sId="8">
    <oc r="E50">
      <f>J50+L50+N50+P50+R50+T50+V50+X50</f>
    </oc>
    <nc r="E50">
      <f>J50+L50+N50+P50+R50+T50+V50+X50+Z50</f>
    </nc>
  </rcc>
  <rcc rId="102" sId="8">
    <oc r="E52">
      <f>J52+L52+N52+P52+R52+T52+V52+X52</f>
    </oc>
    <nc r="E52">
      <f>J52+L52+N52+P52+R52+T52+V52+X52+Z52</f>
    </nc>
  </rcc>
  <rcc rId="103" sId="8">
    <oc r="E54">
      <f>J54+L54+N54+P54+R54+T54+V54+X54</f>
    </oc>
    <nc r="E54">
      <f>J54+L54+N54+P54+R54+T54+V54+X54+Z54</f>
    </nc>
  </rcc>
  <rcc rId="104" sId="8">
    <oc r="E56">
      <f>J56+L56+N56+P56+R56+T56+V56+X56</f>
    </oc>
    <nc r="E56">
      <f>J56+L56+N56+P56+R56+T56+V56+X56+Z56</f>
    </nc>
  </rcc>
  <rcc rId="105" sId="8">
    <oc r="E58">
      <f>J58+L58+N58+P58+R58+T58+V58+X58</f>
    </oc>
    <nc r="E58">
      <f>J58+L58+N58+P58+R58+T58+V58+X58+Z58</f>
    </nc>
  </rcc>
  <rfmt sheetId="8" sqref="B1:B1048576" start="0" length="2147483647">
    <dxf>
      <font>
        <color rgb="FFFF0000"/>
      </font>
    </dxf>
  </rfmt>
  <rfmt sheetId="8" sqref="B4:B6 B8:B11 B18:B20 B34:B37 B49:B50 B55:B56" start="0" length="2147483647">
    <dxf>
      <font>
        <color auto="1"/>
      </font>
    </dxf>
  </rfmt>
  <rfmt sheetId="8" sqref="B57:B58" start="0" length="2147483647">
    <dxf>
      <font>
        <color auto="1"/>
      </font>
    </dxf>
  </rfmt>
  <rcc rId="106" sId="8" numFmtId="4">
    <oc r="AA58">
      <v>0</v>
    </oc>
    <nc r="AA58">
      <v>7774.96</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07" sId="8" numFmtId="4">
    <oc r="Z31">
      <v>0</v>
    </oc>
    <nc r="Z31">
      <v>3108.8</v>
    </nc>
  </rcc>
  <rcc rId="108" sId="8" numFmtId="4">
    <oc r="Z32">
      <v>0</v>
    </oc>
    <nc r="Z32">
      <v>307.45999999999998</v>
    </nc>
  </rcc>
  <rcc rId="109" sId="8" numFmtId="4">
    <oc r="AA32">
      <v>0</v>
    </oc>
    <nc r="AA32">
      <v>1090.0999999999999</v>
    </nc>
  </rcc>
  <rcc rId="110" sId="8" numFmtId="4">
    <oc r="AA31">
      <v>0</v>
    </oc>
    <nc r="AA31">
      <v>11022.09</v>
    </nc>
  </rcc>
  <rcc rId="111" sId="8" numFmtId="4">
    <oc r="AB31">
      <v>0</v>
    </oc>
    <nc r="AB31">
      <v>6217.59</v>
    </nc>
  </rcc>
  <rcc rId="112" sId="8" numFmtId="4">
    <oc r="AB32">
      <v>0</v>
    </oc>
    <nc r="AB32">
      <v>614.92999999999995</v>
    </nc>
  </rcc>
  <rcc rId="113" sId="8" numFmtId="4">
    <oc r="AF32">
      <v>1537.37</v>
    </oc>
    <nc r="AF32">
      <v>614.98</v>
    </nc>
  </rcc>
  <rcc rId="114" sId="8" numFmtId="4">
    <oc r="AF31">
      <v>15543.98</v>
    </oc>
    <nc r="AF31">
      <v>6217.59</v>
    </nc>
  </rcc>
  <rcc rId="115"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nc>
  </rcc>
  <rfmt sheetId="8" sqref="B13:B16" start="0" length="2147483647">
    <dxf>
      <font>
        <color auto="1"/>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8:B47" start="0" length="2147483647">
    <dxf>
      <font>
        <color auto="1"/>
      </font>
    </dxf>
  </rfmt>
  <rcc rId="116" sId="8" numFmtId="4">
    <oc r="Z54">
      <v>1092.77</v>
    </oc>
    <nc r="Z54">
      <v>1452.44</v>
    </nc>
  </rcc>
  <rcc rId="117" sId="8" numFmtId="4">
    <oc r="AA54">
      <v>0</v>
    </oc>
    <nc r="AA54">
      <v>1809.07</v>
    </nc>
  </rcc>
  <rcc rId="118" sId="8" numFmtId="4">
    <oc r="AF54">
      <v>1361.93</v>
    </oc>
    <nc r="AF54">
      <v>991.27</v>
    </nc>
  </rcc>
  <rfmt sheetId="8" sqref="B53:B54" start="0" length="2147483647">
    <dxf>
      <font>
        <color auto="1"/>
      </font>
    </dxf>
  </rfmt>
  <rfmt sheetId="8" sqref="B7" start="0" length="2147483647">
    <dxf>
      <font>
        <color auto="1"/>
      </font>
    </dxf>
  </rfmt>
  <rcc rId="119" sId="8" numFmtId="4">
    <oc r="AA52">
      <v>0</v>
    </oc>
    <nc r="AA52">
      <v>794.89</v>
    </nc>
  </rcc>
  <rfmt sheetId="8" sqref="B51:B52" start="0" length="2147483647">
    <dxf>
      <font>
        <color auto="1"/>
      </font>
    </dxf>
  </rfmt>
  <rfmt sheetId="8" sqref="B21:B23"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8">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nc>
  </rcc>
  <rfmt sheetId="8" sqref="AH38:AH41">
    <dxf>
      <alignment horizontal="left" readingOrder="0"/>
    </dxf>
  </rfmt>
  <rcc rId="2" sId="8">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nc>
  </rcc>
  <rfmt sheetId="8" sqref="AH42:AH44">
    <dxf>
      <alignment horizontal="left" readingOrder="0"/>
    </dxf>
  </rfmt>
  <rfmt sheetId="8" sqref="AH42:AH44">
    <dxf>
      <alignment vertical="bottom" readingOrder="0"/>
    </dxf>
  </rfmt>
  <rfmt sheetId="8" sqref="AH42:AH44">
    <dxf>
      <alignment vertical="center" readingOrder="0"/>
    </dxf>
  </rfmt>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 sId="1" numFmtId="19">
    <oc r="E6">
      <v>45931</v>
    </oc>
    <nc r="E6">
      <v>45962</v>
    </nc>
  </rcc>
  <rcc rId="121" sId="1" numFmtId="19">
    <oc r="F6">
      <v>45931</v>
    </oc>
    <nc r="F6">
      <v>45962</v>
    </nc>
  </rcc>
  <rcc rId="122" sId="1" numFmtId="19">
    <oc r="G6">
      <v>45931</v>
    </oc>
    <nc r="G6">
      <v>45962</v>
    </nc>
  </rcc>
  <rcc rId="123" sId="1">
    <oc r="E9">
      <f>J9+L9+N9+P9+R9+T9+V9+X9+Z9</f>
    </oc>
    <nc r="E9">
      <f>J9+L9+N9+P9+R9+T9+V9+X9+Z9+AB9</f>
    </nc>
  </rcc>
  <rcc rId="124" sId="1">
    <oc r="E10">
      <f>J10+L10+N10+P10+R10+T10+V10+X10+Z10</f>
    </oc>
    <nc r="E10">
      <f>J10+L10+N10+P10+R10+T10+V10+X10+Z10+AB10</f>
    </nc>
  </rcc>
  <rcc rId="125" sId="1">
    <oc r="E11">
      <f>J11+L11+N11+P11+R11+T11+V11+X11+Z11</f>
    </oc>
    <nc r="E11">
      <f>J11+L11+N11+P11+R11+T11+V11+X11+Z11+AB11</f>
    </nc>
  </rcc>
  <rcc rId="126" sId="1">
    <oc r="E12">
      <f>J12+L12+N12+P12+R12+T12+V12+X12+Z12</f>
    </oc>
    <nc r="E12">
      <f>J12+L12+N12+P12+R12+T12+V12+X12+Z12+AB12</f>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 sId="1">
    <oc r="E15">
      <f>J15+L15+N15+P15+R15+T15+V15+X15+Z15</f>
    </oc>
    <nc r="E15">
      <f>J15+L15+N15+P15+R15+T15+V15+X15+Z15+AB15</f>
    </nc>
  </rcc>
  <rcc rId="136" sId="1">
    <oc r="E17">
      <f>J17+L17+N17+P17+R17+T17+V17+X17+Z17</f>
    </oc>
    <nc r="E17">
      <f>J17+L17+N17+P17+R17+T17+V17+X17+Z17+AB17</f>
    </nc>
  </rcc>
  <rcc rId="137" sId="1">
    <oc r="E18">
      <f>J18+L18+N18+P18+R18+T18+V18+X18+Z18</f>
    </oc>
    <nc r="E18">
      <f>J18+L18+N18+P18+R18+T18+V18+X18+Z18+AB18</f>
    </nc>
  </rcc>
  <rcc rId="138" sId="1">
    <oc r="E16">
      <f>J16+L16+N16+P16+R16+T16+V16+X16+Z16</f>
    </oc>
    <nc r="E16">
      <f>J16+L16+N16+P16+R16+T16+V16+X16+Z16+AB16</f>
    </nc>
  </rcc>
  <rfmt sheetId="1" xfDxf="1" s="1" sqref="J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39" sId="1" xfDxf="1" s="1" dxf="1" numFmtId="34">
    <oc r="O16">
      <v>12482.68</v>
    </oc>
    <nc r="O16">
      <v>12482.677320000001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0" sId="1" xfDxf="1" s="1" dxf="1" numFmtId="34">
    <oc r="P16">
      <v>16993.099999999999</v>
    </oc>
    <nc r="P16">
      <v>16993.11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Q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41" sId="1" xfDxf="1" s="1" dxf="1" numFmtId="34">
    <oc r="T16">
      <f>15369.58+40999.68</f>
    </oc>
    <nc r="T16">
      <v>56369.256420000005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2" sId="1" xfDxf="1" s="1" dxf="1" numFmtId="34">
    <oc r="U16">
      <v>56369.26</v>
    </oc>
    <nc r="U16">
      <v>56369.256420999998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3" sId="1" xfDxf="1" s="1" dxf="1" numFmtId="34">
    <oc r="V16">
      <f>47832.97-15369.58</f>
    </oc>
    <nc r="V16">
      <v>76838.384709999998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4" sId="1" xfDxf="1" s="1" dxf="1" numFmtId="34">
    <oc r="W16">
      <v>0</v>
    </oc>
    <nc r="W16">
      <v>77434.84</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5" sId="1" xfDxf="1" s="1" dxf="1" numFmtId="34">
    <oc r="X16">
      <v>57399.552000000003</v>
    </oc>
    <nc r="X16">
      <v>154867.17090999999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6" sId="1" xfDxf="1" s="1" dxf="1" numFmtId="34">
    <oc r="Y16">
      <v>0</v>
    </oc>
    <nc r="Y16">
      <v>97467.62</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7" sId="1" xfDxf="1" s="1" dxf="1" numFmtId="34">
    <oc r="Z16">
      <v>72433.59</v>
    </oc>
    <nc r="Z16">
      <v>341272.63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8" sId="1" xfDxf="1" s="1" dxf="1" numFmtId="34">
    <oc r="AA16">
      <v>0</v>
    </oc>
    <nc r="AA16">
      <v>174572.17</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9" sId="1" xfDxf="1" s="1" dxf="1" numFmtId="34">
    <oc r="AB16">
      <v>122998.182</v>
    </oc>
    <nc r="AB16">
      <v>122999.03999999999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0" sId="1" xfDxf="1" s="1" dxf="1" numFmtId="34">
    <oc r="AC16">
      <v>0</v>
    </oc>
    <nc r="AC16">
      <v>123104.1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1" sId="1" xfDxf="1" s="1" dxf="1" numFmtId="34">
    <oc r="AD16">
      <v>150332.16200000001</v>
    </oc>
    <nc r="AD16">
      <v>150332.16246000002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52" sId="1" xfDxf="1" s="1" dxf="1" numFmtId="34">
    <oc r="AF16">
      <v>740669.87</v>
    </oc>
    <nc r="AF16">
      <v>329987.40000000002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3" sId="1" xfDxf="1" s="1" dxf="1">
    <oc r="AG16">
      <v>0</v>
    </oc>
    <nc r="AG16"/>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J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4" sId="1" xfDxf="1" s="1" dxf="1" numFmtId="34">
    <oc r="O18">
      <v>1386.96</v>
    </oc>
    <nc r="O18">
      <v>1386.96415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P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Q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5" sId="1" xfDxf="1" s="1" dxf="1" numFmtId="34">
    <oc r="T18">
      <v>6263.25</v>
    </oc>
    <nc r="T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6" sId="1" xfDxf="1" s="1" dxf="1" numFmtId="34">
    <oc r="U18">
      <v>6263.25</v>
    </oc>
    <nc r="U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7" sId="1" xfDxf="1" s="1" dxf="1" numFmtId="34">
    <oc r="V18">
      <v>5314.7730000000001</v>
    </oc>
    <nc r="V18">
      <v>19367.333559999999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8" sId="1" xfDxf="1" s="1" dxf="1" numFmtId="34">
    <oc r="W18">
      <v>0</v>
    </oc>
    <nc r="W18">
      <v>19433.61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9" sId="1" xfDxf="1" s="1" dxf="1" numFmtId="34">
    <oc r="X18">
      <v>6377.7280000000001</v>
    </oc>
    <nc r="X18">
      <v>19396.909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0" sId="1" xfDxf="1" s="1" dxf="1" numFmtId="34">
    <oc r="Y18">
      <v>0</v>
    </oc>
    <nc r="Y18">
      <v>19396.91</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1" sId="1" xfDxf="1" s="1" dxf="1" numFmtId="34">
    <oc r="Z18">
      <v>8048.085</v>
    </oc>
    <nc r="Z18">
      <v>24908.13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2" sId="1" xfDxf="1" s="1" dxf="1" numFmtId="34">
    <oc r="AA18">
      <v>0</v>
    </oc>
    <nc r="AA18">
      <v>8.1264099999999999</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3" sId="1" xfDxf="1" s="1" dxf="1" numFmtId="34">
    <oc r="AB18">
      <v>13666.56</v>
    </oc>
    <nc r="AB18">
      <v>13666.560220000001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4" sId="1" xfDxf="1" s="1" dxf="1" numFmtId="34">
    <oc r="AC18">
      <v>0</v>
    </oc>
    <nc r="AC18">
      <v>13678.23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5" sId="1" xfDxf="1" s="1" dxf="1" numFmtId="34">
    <oc r="AD18">
      <v>16703.573</v>
    </oc>
    <nc r="AD18">
      <v>16703.573609999999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66" sId="1" xfDxf="1" s="1" dxf="1" numFmtId="34">
    <oc r="AF18">
      <f>101104.38-14444.59</f>
    </oc>
    <nc r="AF18">
      <v>42727.96</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7" sId="1" xfDxf="1" s="1" dxf="1">
    <oc r="AG18">
      <v>0</v>
    </oc>
    <nc r="AG18"/>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 sId="1">
    <oc r="E20">
      <f>J20+L20+N20+P20+R20+T20+V20+X20+Z20</f>
    </oc>
    <nc r="E20">
      <f>J20+L20+N20+P20+R20+T20+V20+X20+Z20+AB20</f>
    </nc>
  </rcc>
  <rcc rId="169" sId="1">
    <oc r="E21">
      <f>J21+L21+N21+P21+R21+T21+V21+X21+Z21</f>
    </oc>
    <nc r="E21">
      <f>J21+L21+N21+P21+R21+T21+V21+X21+Z21+AB21</f>
    </nc>
  </rcc>
  <rcc rId="170" sId="1">
    <oc r="E22">
      <f>J22+L22+N22+P22+R22+T22+V22+X22+Z22</f>
    </oc>
    <nc r="E22">
      <f>J22+L22+N22+P22+R22+T22+V22+X22+Z22+AB22</f>
    </nc>
  </rcc>
  <rcc rId="171" sId="1" numFmtId="4">
    <oc r="AC29">
      <v>0</v>
    </oc>
    <nc r="AC29">
      <v>8179.22</v>
    </nc>
  </rcc>
  <rcc rId="172" sId="1" numFmtId="4">
    <oc r="AC31">
      <v>0</v>
    </oc>
    <nc r="AC31">
      <v>80.83</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1" numFmtId="4">
    <oc r="AC26">
      <v>0</v>
    </oc>
    <nc r="AC26">
      <v>0.22</v>
    </nc>
  </rcc>
  <rcc rId="174" sId="1">
    <oc r="E24">
      <f>J24+L24+N24+P24+R24+T24+V24+X24+Z24</f>
    </oc>
    <nc r="E24">
      <f>J24+L24+N24+P24+R24+T24+V24+X24+Z24+AB24</f>
    </nc>
  </rcc>
  <rcc rId="175" sId="1">
    <oc r="E25">
      <f>J25+L25+N25+P25+R25+T25+V25+X25+Z25</f>
    </oc>
    <nc r="E25">
      <f>J25+L25+N25+P25+R25+T25+V25+X25+Z25+AB25</f>
    </nc>
  </rcc>
  <rcc rId="176" sId="1">
    <oc r="E26">
      <f>J26+L26+N26+P26+R26+T26+V26+X26+Z26</f>
    </oc>
    <nc r="E26">
      <f>J26+L26+N26+P26+R26+T26+V26+X26+Z26+AB26</f>
    </nc>
  </rcc>
  <rcc rId="177" sId="1" numFmtId="4">
    <oc r="AC25">
      <v>0</v>
    </oc>
    <nc r="AC25">
      <v>13.45</v>
    </nc>
  </rcc>
  <rcc rId="178" sId="1" numFmtId="4">
    <oc r="AC24">
      <v>0</v>
    </oc>
    <nc r="AC24">
      <v>8.6</v>
    </nc>
  </rcc>
  <rcc rId="179" sId="1" numFmtId="4">
    <oc r="R24">
      <v>38.027999999999999</v>
    </oc>
    <nc r="R24">
      <f>38.028+38.03</f>
    </nc>
  </rcc>
  <rcc rId="180" sId="1">
    <oc r="AF24">
      <f>37.89+38.092</f>
    </oc>
    <nc r="AF24">
      <f>37.89+38.092-38.03</f>
    </nc>
  </rcc>
  <rcc rId="181" sId="1">
    <oc r="E23">
      <f>E26+E25+E24</f>
    </oc>
    <nc r="E23">
      <f>E26+E25+E24</f>
    </nc>
  </rcc>
  <rcc rId="182" sId="1">
    <oc r="AF25">
      <f>19.66+79.554</f>
    </oc>
    <nc r="AF25">
      <f>19.66+79.554-49.49</f>
    </nc>
  </rcc>
  <rcc rId="183" sId="1" numFmtId="4">
    <oc r="X25">
      <v>25</v>
    </oc>
    <nc r="X25">
      <f>49.49+25</f>
    </nc>
  </rcc>
  <rcc rId="184" sId="1" numFmtId="4">
    <oc r="Z26">
      <v>0.19</v>
    </oc>
    <nc r="Z26">
      <f>0.9+0.19</f>
    </nc>
  </rcc>
  <rcc rId="185" sId="1">
    <oc r="AF26">
      <f>1.054-0.03</f>
    </oc>
    <nc r="AF26">
      <f>1.054-0.03-0.09</f>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 sId="1">
    <oc r="E34">
      <f>J34+L34+N34+P34+R34+T34+V34+X34+Z34</f>
    </oc>
    <nc r="E34">
      <f>J34+L34+N34+P34+R34+T34+V34+X34+Z34+AB34</f>
    </nc>
  </rcc>
  <rcc rId="187" sId="1">
    <oc r="E35">
      <f>J35+L35+N35+P35+R35+T35+V35+X35+Z35</f>
    </oc>
    <nc r="E35">
      <f>J35+L35+N35+P35+R35+T35+V35+X35+Z35+AB35</f>
    </nc>
  </rcc>
  <rcc rId="188" sId="1">
    <oc r="E36">
      <f>J36+L36+N36+P36+R36+T36+V36+X36+Z36</f>
    </oc>
    <nc r="E36">
      <f>J36+L36+N36+P36+R36+T36+V36+X36+Z36+AB36</f>
    </nc>
  </rcc>
  <rcc rId="189" sId="1">
    <oc r="E37">
      <f>J37+L37+N37+P37+R37+T37+V37+X37+Z37</f>
    </oc>
    <nc r="E37">
      <f>J37+L37+N37+P37+R37+T37+V37+X37+Z37+AB37</f>
    </nc>
  </rcc>
  <rcc rId="190" sId="1">
    <oc r="E39">
      <f>J39+L39+N39+P39+R39+T39+V39+X39+Z39</f>
    </oc>
    <nc r="E39">
      <f>J39+L39+N39+P39+R39+T39+V39+X39+Z39+AB39</f>
    </nc>
  </rcc>
  <rcc rId="191" sId="1">
    <oc r="E40">
      <f>J40+L40+N40+P40+R40+T40+V40+X40+Z40</f>
    </oc>
    <nc r="E40">
      <f>J40+L40+N40+P40+R40+T40+V40+X40+Z40+AB40</f>
    </nc>
  </rcc>
  <rcc rId="192" sId="1">
    <oc r="E41">
      <f>J41+L41+N41+P41+R41+T41+V41+X41+Z41</f>
    </oc>
    <nc r="E41">
      <f>J41+L41+N41+P41+R41+T41+V41+X41+Z41+AB41</f>
    </nc>
  </rcc>
  <rcc rId="193" sId="1">
    <oc r="E43">
      <f>J43+L43+N43+P43+R43+T43+V43+X43+Z43</f>
    </oc>
    <nc r="E43">
      <f>J43+L43+N43+P43+R43+T43+V43+X43+Z43+AB43</f>
    </nc>
  </rcc>
  <rcc rId="194" sId="1">
    <oc r="E44">
      <f>J44+L44+N44+P44+R44+T44+V44+X44+Z44</f>
    </oc>
    <nc r="E44">
      <f>J44+L44+N44+P44+R44+T44+V44+X44+Z44+AB44</f>
    </nc>
  </rcc>
  <rcc rId="195" sId="1">
    <oc r="E45">
      <f>J45+L45+N45+P45+R45+T45+V45+X45+Z45</f>
    </oc>
    <nc r="E45">
      <f>J45+L45+N45+P45+R45+T45+V45+X45+Z45+AB45</f>
    </nc>
  </rcc>
  <rcc rId="196" sId="1" numFmtId="4">
    <oc r="AC43">
      <v>0</v>
    </oc>
    <nc r="AC43">
      <v>39755.49</v>
    </nc>
  </rcc>
  <rcc rId="197" sId="1">
    <oc r="AD43">
      <f>5000+28218.963</f>
    </oc>
    <nc r="AD43">
      <f>5000+28218.963+2946.3</f>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 sId="1">
    <oc r="AF46">
      <f>AF47</f>
    </oc>
    <nc r="AF46">
      <f>AF47</f>
    </nc>
  </rcc>
  <rcc rId="199" sId="1">
    <oc r="AF45">
      <f>22562.669-17655.05-2059.91</f>
    </oc>
    <nc r="AF45">
      <f>22562.669-17655.05-2059.91-927.82</f>
    </nc>
  </rcc>
  <rcc rId="200" sId="1" numFmtId="4">
    <oc r="AC45">
      <v>0</v>
    </oc>
    <nc r="AC45">
      <v>25520.71</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 sId="1">
    <oc r="E47">
      <f>J47+L47+N47+P47+R47+T47</f>
    </oc>
    <nc r="E47">
      <f>J47+L47+N47+P47+R47+T47+V47+X47+Z47+AB47</f>
    </nc>
  </rcc>
  <rcc rId="202" sId="1" numFmtId="4">
    <oc r="W47">
      <v>0</v>
    </oc>
    <nc r="W47">
      <v>377685.37</v>
    </nc>
  </rcc>
  <rcc rId="203" sId="1" numFmtId="4">
    <oc r="Y47">
      <v>0</v>
    </oc>
    <nc r="Y47">
      <v>90000</v>
    </nc>
  </rcc>
  <rcc rId="204" sId="1" numFmtId="4">
    <oc r="AA47">
      <v>0</v>
    </oc>
    <nc r="AA47">
      <v>130000</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 sId="1" numFmtId="4">
    <oc r="AA47">
      <v>130000</v>
    </oc>
    <nc r="AA47">
      <v>110000</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 sId="1" numFmtId="4">
    <oc r="Y47">
      <v>90000</v>
    </oc>
    <nc r="Y47">
      <v>57285</v>
    </nc>
  </rcc>
  <rcc rId="207" sId="1" numFmtId="4">
    <oc r="AC47">
      <v>0</v>
    </oc>
    <nc r="AC47">
      <v>23263.75</v>
    </nc>
  </rcc>
  <rcc rId="208" sId="1">
    <oc r="AB46">
      <f>AB47</f>
    </oc>
    <nc r="AB46">
      <f>AB47</f>
    </nc>
  </rcc>
  <rcc rId="209" sId="1" numFmtId="4">
    <oc r="AB47">
      <v>123715.728</v>
    </oc>
    <nc r="AB47">
      <f>94952.81+123715.728</f>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7" start="0" length="2147483647">
    <dxf>
      <font>
        <color auto="1"/>
      </font>
    </dxf>
  </rfmt>
  <rfmt sheetId="8" sqref="B55:B56" start="0" length="2147483647">
    <dxf>
      <font>
        <color auto="1"/>
      </font>
    </dxf>
  </rfmt>
  <rfmt sheetId="8" sqref="B53:B54" start="0" length="2147483647">
    <dxf>
      <font>
        <color auto="1"/>
      </font>
    </dxf>
  </rfmt>
  <rcc rId="11" sId="8" numFmtId="4">
    <oc r="W54">
      <v>0</v>
    </oc>
    <nc r="W54">
      <v>2089.66</v>
    </nc>
  </rcc>
  <rcc rId="12" sId="8" numFmtId="4">
    <oc r="X54">
      <v>1484.748</v>
    </oc>
    <nc r="X54">
      <v>1495.75</v>
    </nc>
  </rcc>
  <rcc rId="13" sId="8" numFmtId="4">
    <oc r="AF54">
      <v>1372.93</v>
    </oc>
    <nc r="AF54">
      <v>1361.93</v>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numFmtId="4">
    <oc r="W49">
      <v>0</v>
    </oc>
    <nc r="W49">
      <v>1000</v>
    </nc>
  </rcc>
  <rcc rId="211" sId="1" numFmtId="4">
    <oc r="Y49">
      <v>0</v>
    </oc>
    <nc r="Y49">
      <v>1000</v>
    </nc>
  </rcc>
  <rcc rId="212" sId="1" numFmtId="4">
    <oc r="AA49">
      <v>0</v>
    </oc>
    <nc r="AA49">
      <v>1000</v>
    </nc>
  </rcc>
  <rcc rId="213" sId="1">
    <oc r="E49">
      <f>J49+L49+N49+P49+R49+T49</f>
    </oc>
    <nc r="E49">
      <f>J49+L49+N49+P49+R49+T49+V49+X49+Z49+AB49</f>
    </nc>
  </rcc>
  <rcc rId="214" sId="1" numFmtId="4">
    <oc r="AC49">
      <v>0</v>
    </oc>
    <nc r="AC49">
      <v>9574.06</v>
    </nc>
  </rcc>
  <rcc rId="215" sId="1" numFmtId="4">
    <oc r="AB49">
      <v>994.83</v>
    </oc>
    <nc r="AB49">
      <v>10000</v>
    </nc>
  </rcc>
  <rcc rId="216" sId="1" numFmtId="4">
    <oc r="AD49">
      <v>972.43</v>
    </oc>
    <nc r="AD49">
      <v>7972.43</v>
    </nc>
  </rcc>
  <rcc rId="217" sId="1" numFmtId="4">
    <oc r="AF49">
      <v>991.59199999999998</v>
    </oc>
    <nc r="AF49">
      <f>994.83+991.592</f>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 sId="1">
    <oc r="E51">
      <f>J51+L51+N51+P51+R51+T51</f>
    </oc>
    <nc r="E51">
      <f>J51+L51+N51+P51+R51+T51+V51+X51+Z51+AB51</f>
    </nc>
  </rcc>
  <rcc rId="219" sId="1" numFmtId="4">
    <oc r="W51">
      <v>0</v>
    </oc>
    <nc r="W51">
      <v>930</v>
    </nc>
  </rcc>
  <rcc rId="220" sId="1" numFmtId="4">
    <oc r="Y51">
      <v>0</v>
    </oc>
    <nc r="Y51">
      <v>930</v>
    </nc>
  </rcc>
  <rcc rId="221" sId="1" numFmtId="4">
    <oc r="AA51">
      <v>0</v>
    </oc>
    <nc r="AA51">
      <v>600</v>
    </nc>
  </rcc>
  <rcc rId="222" sId="1" numFmtId="4">
    <oc r="AC51">
      <v>0</v>
    </oc>
    <nc r="AC51">
      <v>2220</v>
    </nc>
  </rcc>
  <rcc rId="223" sId="1">
    <oc r="AB51">
      <f>600-104</f>
    </oc>
    <nc r="AB51">
      <f>600-104+2220</f>
    </nc>
  </rcc>
  <rcc rId="224" sId="1" numFmtId="4">
    <oc r="AD51">
      <v>0</v>
    </oc>
    <nc r="AD51">
      <v>2000</v>
    </nc>
  </rcc>
  <rcc rId="225" sId="1" numFmtId="4">
    <oc r="AF51">
      <v>0</v>
    </oc>
    <nc r="AF51">
      <v>916</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 sId="1" numFmtId="4">
    <oc r="AF56">
      <v>10406.9</v>
    </oc>
    <nc r="AF56"/>
  </rcc>
  <rcc rId="227" sId="1" numFmtId="4">
    <oc r="AF57">
      <v>1156.4000000000001</v>
    </oc>
    <nc r="AF57"/>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8" sId="1">
    <oc r="E60">
      <f>J60+L60+N60+P60+R60</f>
    </oc>
    <nc r="E60">
      <f>J60+L60+N60+P60+R60+T60+V60+X60+Z60+AB60</f>
    </nc>
  </rcc>
  <rcc rId="229" sId="1">
    <oc r="E62">
      <f>J62+L62+N62+P62+R62+T62</f>
    </oc>
    <nc r="E62">
      <f>J62+L62+N62+P62+R62+T62+V62+X62+Z62+AB62</f>
    </nc>
  </rcc>
  <rcc rId="230" sId="1">
    <oc r="E64">
      <f>J64+L64+N64+P64+R64+T64</f>
    </oc>
    <nc r="E64">
      <f>J64+L64+N64+P64+R64+T64+V64+X64+Z64+AB64</f>
    </nc>
  </rcc>
  <rcc rId="231" sId="1" numFmtId="4">
    <oc r="W64">
      <v>0</v>
    </oc>
    <nc r="W64">
      <v>8.81</v>
    </nc>
  </rcc>
  <rcc rId="232" sId="1" numFmtId="4">
    <oc r="Y64">
      <v>0</v>
    </oc>
    <nc r="Y64">
      <v>8.82</v>
    </nc>
  </rcc>
  <rcc rId="233" sId="1">
    <oc r="R60">
      <f>R62+R64</f>
    </oc>
    <nc r="R60">
      <f>R62+R64</f>
    </nc>
  </rcc>
  <rcc rId="234" sId="1" numFmtId="4">
    <oc r="Z63">
      <f>Z64</f>
    </oc>
    <nc r="Z63">
      <v>9</v>
    </nc>
  </rcc>
  <rcc rId="235" sId="1" numFmtId="4">
    <oc r="AA63">
      <f>AA64</f>
    </oc>
    <nc r="AA63">
      <v>9</v>
    </nc>
  </rcc>
  <rcc rId="236" sId="1">
    <oc r="F64">
      <f>G64</f>
    </oc>
    <nc r="F64">
      <f>G64</f>
    </nc>
  </rcc>
  <rcc rId="237" sId="1">
    <oc r="G64">
      <f>SUM(K64,M64,O64,Q64,S64,U64,W64,Y64,AA64,AC64,AE64,AG64)</f>
    </oc>
    <nc r="G64">
      <f>SUM(K64,M64,O64,Q64,S64,U64,W64,Y64,AA64,AC64,AE64,AG64)</f>
    </nc>
  </rcc>
  <rcc rId="238" sId="1" numFmtId="4">
    <oc r="AC64">
      <v>0</v>
    </oc>
    <nc r="AC64">
      <v>167.96</v>
    </nc>
  </rcc>
  <rcc rId="239" sId="1" numFmtId="4">
    <oc r="AB64">
      <v>45</v>
    </oc>
    <nc r="AB64">
      <f>167.87+45</f>
    </nc>
  </rcc>
  <rcc rId="240" sId="1" numFmtId="4">
    <oc r="AF64">
      <v>440.16</v>
    </oc>
    <nc r="AF64">
      <f>440.16-167.87</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 sId="1" numFmtId="4">
    <oc r="AC43">
      <v>39755.49</v>
    </oc>
    <nc r="AC43">
      <f>11879.94+39755.49</f>
    </nc>
  </rcc>
  <rcc rId="242" sId="1">
    <oc r="AD43">
      <f>5000+28218.963+2946.3</f>
    </oc>
    <nc r="AD43">
      <f>5000+28218.963+2946.3+12563.7</f>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border>
        <bottom style="thin">
          <color indexed="64"/>
        </bottom>
      </border>
    </dxf>
  </rfmt>
  <rrc rId="243" sId="1" ref="A58:XFD58" action="insertRow">
    <undo index="10" exp="area" ref3D="1" dr="$A$75:$XFD$75" dn="Z_2A5A11D4_90C6_4A3E_8165_7D7BD634B22F_.wvu.Rows" sId="1"/>
    <undo index="8" exp="area" ref3D="1" dr="$A$71:$XFD$71" dn="Z_2A5A11D4_90C6_4A3E_8165_7D7BD634B22F_.wvu.Rows" sId="1"/>
    <undo index="6" exp="area" ref3D="1" dr="$A$59:$XFD$59" dn="Z_2A5A11D4_90C6_4A3E_8165_7D7BD634B22F_.wvu.Rows" sId="1"/>
    <undo index="10" exp="area" ref3D="1" dr="$A$75:$XFD$75" dn="Z_21E1D423_7B38_4272_8354_09B4DB62C9EB_.wvu.Rows" sId="1"/>
    <undo index="8" exp="area" ref3D="1" dr="$A$71:$XFD$71" dn="Z_21E1D423_7B38_4272_8354_09B4DB62C9EB_.wvu.Rows" sId="1"/>
    <undo index="6" exp="area" ref3D="1" dr="$A$59:$XFD$59" dn="Z_21E1D423_7B38_4272_8354_09B4DB62C9EB_.wvu.Rows" sId="1"/>
    <undo index="10" exp="area" ref3D="1" dr="$A$75:$XFD$75" dn="Z_2940A182_D1A7_43C5_8D6E_965BED4371B0_.wvu.Rows" sId="1"/>
    <undo index="8" exp="area" ref3D="1" dr="$A$71:$XFD$71" dn="Z_2940A182_D1A7_43C5_8D6E_965BED4371B0_.wvu.Rows" sId="1"/>
    <undo index="6" exp="area" ref3D="1" dr="$A$59:$XFD$59" dn="Z_2940A182_D1A7_43C5_8D6E_965BED4371B0_.wvu.Rows" sId="1"/>
    <undo index="10" exp="area" ref3D="1" dr="$A$75:$XFD$75" dn="Z_A4AF2100_C59D_4F60_9EAB_56D9103463F7_.wvu.Rows" sId="1"/>
    <undo index="8" exp="area" ref3D="1" dr="$A$71:$XFD$71" dn="Z_A4AF2100_C59D_4F60_9EAB_56D9103463F7_.wvu.Rows" sId="1"/>
    <undo index="6" exp="area" ref3D="1" dr="$A$59:$XFD$59" dn="Z_A4AF2100_C59D_4F60_9EAB_56D9103463F7_.wvu.Rows" sId="1"/>
    <undo index="10" exp="area" ref3D="1" dr="$A$75:$XFD$75" dn="Z_A0E2FBF6_E560_4343_8BE6_217DC798135B_.wvu.Rows" sId="1"/>
    <undo index="8" exp="area" ref3D="1" dr="$A$71:$XFD$71" dn="Z_A0E2FBF6_E560_4343_8BE6_217DC798135B_.wvu.Rows" sId="1"/>
    <undo index="6" exp="area" ref3D="1" dr="$A$59:$XFD$59" dn="Z_A0E2FBF6_E560_4343_8BE6_217DC798135B_.wvu.Rows" sId="1"/>
    <undo index="8" exp="area" ref3D="1" dr="$A$75:$XFD$75" dn="Z_996EC2F0_F6EC_4E63_A83E_34865157BD8D_.wvu.Rows" sId="1"/>
    <undo index="6" exp="area" ref3D="1" dr="$A$71:$XFD$71" dn="Z_996EC2F0_F6EC_4E63_A83E_34865157BD8D_.wvu.Rows" sId="1"/>
    <undo index="10" exp="area" ref3D="1" dr="$A$75:$XFD$75" dn="Z_7C5A2A36_3D69_43D9_9018_A52C27EC78F9_.wvu.Rows" sId="1"/>
    <undo index="8" exp="area" ref3D="1" dr="$A$71:$XFD$71" dn="Z_7C5A2A36_3D69_43D9_9018_A52C27EC78F9_.wvu.Rows" sId="1"/>
    <undo index="6" exp="area" ref3D="1" dr="$A$59:$XFD$59" dn="Z_7C5A2A36_3D69_43D9_9018_A52C27EC78F9_.wvu.Rows" sId="1"/>
    <undo index="10" exp="area" ref3D="1" dr="$A$75:$XFD$75" dn="Z_562453CE_35F5_40A3_AD14_6399D1197C99_.wvu.Rows" sId="1"/>
    <undo index="8" exp="area" ref3D="1" dr="$A$71:$XFD$71" dn="Z_562453CE_35F5_40A3_AD14_6399D1197C99_.wvu.Rows" sId="1"/>
    <undo index="6" exp="area" ref3D="1" dr="$A$59:$XFD$59" dn="Z_562453CE_35F5_40A3_AD14_6399D1197C99_.wvu.Rows" sId="1"/>
    <undo index="10" exp="area" ref3D="1" dr="$A$75:$XFD$75" dn="Z_60A1F930_4BEC_460A_8E14_01E47F6DD055_.wvu.Rows" sId="1"/>
    <undo index="8" exp="area" ref3D="1" dr="$A$71:$XFD$71" dn="Z_60A1F930_4BEC_460A_8E14_01E47F6DD055_.wvu.Rows" sId="1"/>
    <undo index="6" exp="area" ref3D="1" dr="$A$59:$XFD$59" dn="Z_60A1F930_4BEC_460A_8E14_01E47F6DD055_.wvu.Rows" sId="1"/>
    <undo index="10" exp="area" ref3D="1" dr="$A$75:$XFD$75" dn="Z_5DF2C78B_5EE4_439D_8D72_8D3A913B65F9_.wvu.Rows" sId="1"/>
    <undo index="8" exp="area" ref3D="1" dr="$A$71:$XFD$71" dn="Z_5DF2C78B_5EE4_439D_8D72_8D3A913B65F9_.wvu.Rows" sId="1"/>
    <undo index="6" exp="area" ref3D="1" dr="$A$59:$XFD$59" dn="Z_5DF2C78B_5EE4_439D_8D72_8D3A913B65F9_.wvu.Rows" sId="1"/>
    <undo index="10" exp="area" ref3D="1" dr="$A$75:$XFD$75" dn="Z_519948E4_0B24_465F_9D9E_44BE50D1D647_.wvu.Rows" sId="1"/>
    <undo index="8" exp="area" ref3D="1" dr="$A$71:$XFD$71" dn="Z_519948E4_0B24_465F_9D9E_44BE50D1D647_.wvu.Rows" sId="1"/>
    <undo index="6" exp="area" ref3D="1" dr="$A$59:$XFD$59" dn="Z_519948E4_0B24_465F_9D9E_44BE50D1D647_.wvu.Rows" sId="1"/>
    <undo index="10" exp="area" ref3D="1" dr="$A$75:$XFD$75" dn="Z_4E221C17_6DAB_4FFA_B18C_35D4D85AF6E8_.wvu.Rows" sId="1"/>
    <undo index="8" exp="area" ref3D="1" dr="$A$71:$XFD$71" dn="Z_4E221C17_6DAB_4FFA_B18C_35D4D85AF6E8_.wvu.Rows" sId="1"/>
    <undo index="6" exp="area" ref3D="1" dr="$A$59:$XFD$59" dn="Z_4E221C17_6DAB_4FFA_B18C_35D4D85AF6E8_.wvu.Rows" sId="1"/>
    <undo index="10" exp="area" ref3D="1" dr="$A$75:$XFD$75" dn="Z_30B635D9_57DB_47D5_8A0F_4B30DD769960_.wvu.Rows" sId="1"/>
    <undo index="8" exp="area" ref3D="1" dr="$A$71:$XFD$71" dn="Z_30B635D9_57DB_47D5_8A0F_4B30DD769960_.wvu.Rows" sId="1"/>
    <undo index="6" exp="area" ref3D="1" dr="$A$59:$XFD$59" dn="Z_30B635D9_57DB_47D5_8A0F_4B30DD769960_.wvu.Rows" sId="1"/>
    <undo index="10" exp="area" ref3D="1" dr="$A$75:$XFD$75" dn="Z_F528EF6A_C113_49B5_B25F_D660F898CBFB_.wvu.Rows" sId="1"/>
    <undo index="8" exp="area" ref3D="1" dr="$A$71:$XFD$71" dn="Z_F528EF6A_C113_49B5_B25F_D660F898CBFB_.wvu.Rows" sId="1"/>
    <undo index="6" exp="area" ref3D="1" dr="$A$59:$XFD$59" dn="Z_F528EF6A_C113_49B5_B25F_D660F898CBFB_.wvu.Rows" sId="1"/>
    <undo index="10" exp="area" ref3D="1" dr="$A$75:$XFD$75" dn="Z_EA46B61D_849C_4795_A4FF_F8F1740022EB_.wvu.Rows" sId="1"/>
    <undo index="8" exp="area" ref3D="1" dr="$A$71:$XFD$71" dn="Z_EA46B61D_849C_4795_A4FF_F8F1740022EB_.wvu.Rows" sId="1"/>
    <undo index="6" exp="area" ref3D="1" dr="$A$59:$XFD$59" dn="Z_EA46B61D_849C_4795_A4FF_F8F1740022EB_.wvu.Rows" sId="1"/>
    <undo index="10" exp="area" ref3D="1" dr="$A$75:$XFD$75" dn="Z_20A05A62_CBE8_4538_BBC3_2AD9D3B8FAC0_.wvu.Rows" sId="1"/>
    <undo index="8" exp="area" ref3D="1" dr="$A$71:$XFD$71" dn="Z_20A05A62_CBE8_4538_BBC3_2AD9D3B8FAC0_.wvu.Rows" sId="1"/>
    <undo index="6" exp="area" ref3D="1" dr="$A$59:$XFD$59" dn="Z_20A05A62_CBE8_4538_BBC3_2AD9D3B8FAC0_.wvu.Rows" sId="1"/>
    <undo index="10" exp="area" ref3D="1" dr="$A$75:$XFD$75" dn="Z_133BB3F8_8DD4_4AEF_8CD6_A5FB14681329_.wvu.Rows" sId="1"/>
    <undo index="8" exp="area" ref3D="1" dr="$A$71:$XFD$71" dn="Z_133BB3F8_8DD4_4AEF_8CD6_A5FB14681329_.wvu.Rows" sId="1"/>
    <undo index="6" exp="area" ref3D="1" dr="$A$59:$XFD$59" dn="Z_133BB3F8_8DD4_4AEF_8CD6_A5FB14681329_.wvu.Rows" sId="1"/>
    <undo index="10" exp="area" ref3D="1" dr="$A$75:$XFD$75" dn="Z_A7640BE7_6438_4196_9A67_AF5B992A1E70_.wvu.Rows" sId="1"/>
    <undo index="8" exp="area" ref3D="1" dr="$A$71:$XFD$71" dn="Z_A7640BE7_6438_4196_9A67_AF5B992A1E70_.wvu.Rows" sId="1"/>
    <undo index="6" exp="area" ref3D="1" dr="$A$59:$XFD$59" dn="Z_A7640BE7_6438_4196_9A67_AF5B992A1E70_.wvu.Rows" sId="1"/>
    <undo index="10" exp="area" ref3D="1" dr="$A$75:$XFD$75" dn="Z_C68436F4_AFB3_4D1D_A7C4_56D0C677D68E_.wvu.Rows" sId="1"/>
    <undo index="8" exp="area" ref3D="1" dr="$A$71:$XFD$71" dn="Z_C68436F4_AFB3_4D1D_A7C4_56D0C677D68E_.wvu.Rows" sId="1"/>
    <undo index="6" exp="area" ref3D="1" dr="$A$59:$XFD$59" dn="Z_C68436F4_AFB3_4D1D_A7C4_56D0C677D68E_.wvu.Rows" sId="1"/>
    <undo index="10" exp="area" ref3D="1" dr="$A$75:$XFD$75" dn="Z_C282AA4E_1BB5_4296_9AC6_844C0F88E5FC_.wvu.Rows" sId="1"/>
    <undo index="8" exp="area" ref3D="1" dr="$A$71:$XFD$71" dn="Z_C282AA4E_1BB5_4296_9AC6_844C0F88E5FC_.wvu.Rows" sId="1"/>
    <undo index="6" exp="area" ref3D="1" dr="$A$59:$XFD$59" dn="Z_C282AA4E_1BB5_4296_9AC6_844C0F88E5FC_.wvu.Rows" sId="1"/>
    <undo index="10" exp="area" ref3D="1" dr="$A$75:$XFD$75" dn="Z_C7DC638A_7F60_46C9_A1FB_9ADEAE87F332_.wvu.Rows" sId="1"/>
    <undo index="8" exp="area" ref3D="1" dr="$A$71:$XFD$71" dn="Z_C7DC638A_7F60_46C9_A1FB_9ADEAE87F332_.wvu.Rows" sId="1"/>
    <undo index="6" exp="area" ref3D="1" dr="$A$59:$XFD$59" dn="Z_C7DC638A_7F60_46C9_A1FB_9ADEAE87F332_.wvu.Rows" sId="1"/>
    <undo index="10" exp="area" ref3D="1" dr="$A$75:$XFD$75" dn="Z_C01DC081_B312_4391_B775_A8CE76216D71_.wvu.Rows" sId="1"/>
    <undo index="8" exp="area" ref3D="1" dr="$A$71:$XFD$71" dn="Z_C01DC081_B312_4391_B775_A8CE76216D71_.wvu.Rows" sId="1"/>
    <undo index="6" exp="area" ref3D="1" dr="$A$59:$XFD$59" dn="Z_C01DC081_B312_4391_B775_A8CE76216D71_.wvu.Rows" sId="1"/>
    <undo index="10" exp="area" ref3D="1" dr="$A$75:$XFD$75" dn="Z_DAEDC989_02E7_4319_8354_59410ACF3F1F_.wvu.Rows" sId="1"/>
    <undo index="8" exp="area" ref3D="1" dr="$A$71:$XFD$71" dn="Z_DAEDC989_02E7_4319_8354_59410ACF3F1F_.wvu.Rows" sId="1"/>
    <undo index="6" exp="area" ref3D="1" dr="$A$59:$XFD$59" dn="Z_DAEDC989_02E7_4319_8354_59410ACF3F1F_.wvu.Rows" sId="1"/>
    <undo index="10" exp="area" ref3D="1" dr="$A$75:$XFD$75" dn="Z_B6B60ED6_A6CC_4DA7_A8CA_5E6DB52D5A87_.wvu.Rows" sId="1"/>
    <undo index="8" exp="area" ref3D="1" dr="$A$71:$XFD$71" dn="Z_B6B60ED6_A6CC_4DA7_A8CA_5E6DB52D5A87_.wvu.Rows" sId="1"/>
    <undo index="6" exp="area" ref3D="1" dr="$A$59:$XFD$59" dn="Z_B6B60ED6_A6CC_4DA7_A8CA_5E6DB52D5A87_.wvu.Rows" sId="1"/>
    <undo index="10" exp="area" ref3D="1" dr="$A$75:$XFD$75" dn="Z_BBF6B43F_E0FC_43DF_B91C_674F6AB4B556_.wvu.Rows" sId="1"/>
    <undo index="8" exp="area" ref3D="1" dr="$A$71:$XFD$71" dn="Z_BBF6B43F_E0FC_43DF_B91C_674F6AB4B556_.wvu.Rows" sId="1"/>
    <undo index="6" exp="area" ref3D="1" dr="$A$59:$XFD$59" dn="Z_BBF6B43F_E0FC_43DF_B91C_674F6AB4B556_.wvu.Rows" sId="1"/>
    <undo index="10" exp="area" ref3D="1" dr="$A$75:$XFD$75" dn="Z_AB9978E4_895D_4050_8F07_2484E22632D1_.wvu.Rows" sId="1"/>
    <undo index="8" exp="area" ref3D="1" dr="$A$71:$XFD$71" dn="Z_AB9978E4_895D_4050_8F07_2484E22632D1_.wvu.Rows" sId="1"/>
    <undo index="6" exp="area" ref3D="1" dr="$A$59:$XFD$59" dn="Z_AB9978E4_895D_4050_8F07_2484E22632D1_.wvu.Rows" sId="1"/>
    <undo index="10" exp="area" ref3D="1" dr="$A$75:$XFD$75" dn="Z_AFADB96A_0516_43C1_9F1B_0604F3CAC04A_.wvu.Rows" sId="1"/>
    <undo index="8" exp="area" ref3D="1" dr="$A$71:$XFD$71" dn="Z_AFADB96A_0516_43C1_9F1B_0604F3CAC04A_.wvu.Rows" sId="1"/>
    <undo index="6" exp="area" ref3D="1" dr="$A$59:$XFD$59" dn="Z_AFADB96A_0516_43C1_9F1B_0604F3CAC04A_.wvu.Rows" sId="1"/>
  </rrc>
  <rrc rId="244" sId="1" ref="A58:XFD59" action="insertRow">
    <undo index="10" exp="area" ref3D="1" dr="$A$76:$XFD$76" dn="Z_2A5A11D4_90C6_4A3E_8165_7D7BD634B22F_.wvu.Rows" sId="1"/>
    <undo index="8" exp="area" ref3D="1" dr="$A$72:$XFD$72" dn="Z_2A5A11D4_90C6_4A3E_8165_7D7BD634B22F_.wvu.Rows" sId="1"/>
    <undo index="6" exp="area" ref3D="1" dr="$A$60:$XFD$60" dn="Z_2A5A11D4_90C6_4A3E_8165_7D7BD634B22F_.wvu.Rows" sId="1"/>
    <undo index="10" exp="area" ref3D="1" dr="$A$76:$XFD$76" dn="Z_21E1D423_7B38_4272_8354_09B4DB62C9EB_.wvu.Rows" sId="1"/>
    <undo index="8" exp="area" ref3D="1" dr="$A$72:$XFD$72" dn="Z_21E1D423_7B38_4272_8354_09B4DB62C9EB_.wvu.Rows" sId="1"/>
    <undo index="6" exp="area" ref3D="1" dr="$A$60:$XFD$60" dn="Z_21E1D423_7B38_4272_8354_09B4DB62C9EB_.wvu.Rows" sId="1"/>
    <undo index="10" exp="area" ref3D="1" dr="$A$76:$XFD$76" dn="Z_2940A182_D1A7_43C5_8D6E_965BED4371B0_.wvu.Rows" sId="1"/>
    <undo index="8" exp="area" ref3D="1" dr="$A$72:$XFD$72" dn="Z_2940A182_D1A7_43C5_8D6E_965BED4371B0_.wvu.Rows" sId="1"/>
    <undo index="6" exp="area" ref3D="1" dr="$A$60:$XFD$60" dn="Z_2940A182_D1A7_43C5_8D6E_965BED4371B0_.wvu.Rows" sId="1"/>
    <undo index="10" exp="area" ref3D="1" dr="$A$76:$XFD$76" dn="Z_A4AF2100_C59D_4F60_9EAB_56D9103463F7_.wvu.Rows" sId="1"/>
    <undo index="8" exp="area" ref3D="1" dr="$A$72:$XFD$72" dn="Z_A4AF2100_C59D_4F60_9EAB_56D9103463F7_.wvu.Rows" sId="1"/>
    <undo index="6" exp="area" ref3D="1" dr="$A$60:$XFD$60" dn="Z_A4AF2100_C59D_4F60_9EAB_56D9103463F7_.wvu.Rows" sId="1"/>
    <undo index="10" exp="area" ref3D="1" dr="$A$76:$XFD$76" dn="Z_A0E2FBF6_E560_4343_8BE6_217DC798135B_.wvu.Rows" sId="1"/>
    <undo index="8" exp="area" ref3D="1" dr="$A$72:$XFD$72" dn="Z_A0E2FBF6_E560_4343_8BE6_217DC798135B_.wvu.Rows" sId="1"/>
    <undo index="6" exp="area" ref3D="1" dr="$A$60:$XFD$60" dn="Z_A0E2FBF6_E560_4343_8BE6_217DC798135B_.wvu.Rows" sId="1"/>
    <undo index="8" exp="area" ref3D="1" dr="$A$76:$XFD$76" dn="Z_996EC2F0_F6EC_4E63_A83E_34865157BD8D_.wvu.Rows" sId="1"/>
    <undo index="6" exp="area" ref3D="1" dr="$A$72:$XFD$72" dn="Z_996EC2F0_F6EC_4E63_A83E_34865157BD8D_.wvu.Rows" sId="1"/>
    <undo index="10" exp="area" ref3D="1" dr="$A$76:$XFD$76" dn="Z_7C5A2A36_3D69_43D9_9018_A52C27EC78F9_.wvu.Rows" sId="1"/>
    <undo index="8" exp="area" ref3D="1" dr="$A$72:$XFD$72" dn="Z_7C5A2A36_3D69_43D9_9018_A52C27EC78F9_.wvu.Rows" sId="1"/>
    <undo index="6" exp="area" ref3D="1" dr="$A$60:$XFD$60" dn="Z_7C5A2A36_3D69_43D9_9018_A52C27EC78F9_.wvu.Rows" sId="1"/>
    <undo index="10" exp="area" ref3D="1" dr="$A$76:$XFD$76" dn="Z_562453CE_35F5_40A3_AD14_6399D1197C99_.wvu.Rows" sId="1"/>
    <undo index="8" exp="area" ref3D="1" dr="$A$72:$XFD$72" dn="Z_562453CE_35F5_40A3_AD14_6399D1197C99_.wvu.Rows" sId="1"/>
    <undo index="6" exp="area" ref3D="1" dr="$A$60:$XFD$60" dn="Z_562453CE_35F5_40A3_AD14_6399D1197C99_.wvu.Rows" sId="1"/>
    <undo index="10" exp="area" ref3D="1" dr="$A$76:$XFD$76" dn="Z_60A1F930_4BEC_460A_8E14_01E47F6DD055_.wvu.Rows" sId="1"/>
    <undo index="8" exp="area" ref3D="1" dr="$A$72:$XFD$72" dn="Z_60A1F930_4BEC_460A_8E14_01E47F6DD055_.wvu.Rows" sId="1"/>
    <undo index="6" exp="area" ref3D="1" dr="$A$60:$XFD$60" dn="Z_60A1F930_4BEC_460A_8E14_01E47F6DD055_.wvu.Rows" sId="1"/>
    <undo index="10" exp="area" ref3D="1" dr="$A$76:$XFD$76" dn="Z_5DF2C78B_5EE4_439D_8D72_8D3A913B65F9_.wvu.Rows" sId="1"/>
    <undo index="8" exp="area" ref3D="1" dr="$A$72:$XFD$72" dn="Z_5DF2C78B_5EE4_439D_8D72_8D3A913B65F9_.wvu.Rows" sId="1"/>
    <undo index="6" exp="area" ref3D="1" dr="$A$60:$XFD$60" dn="Z_5DF2C78B_5EE4_439D_8D72_8D3A913B65F9_.wvu.Rows" sId="1"/>
    <undo index="10" exp="area" ref3D="1" dr="$A$76:$XFD$76" dn="Z_519948E4_0B24_465F_9D9E_44BE50D1D647_.wvu.Rows" sId="1"/>
    <undo index="8" exp="area" ref3D="1" dr="$A$72:$XFD$72" dn="Z_519948E4_0B24_465F_9D9E_44BE50D1D647_.wvu.Rows" sId="1"/>
    <undo index="6" exp="area" ref3D="1" dr="$A$60:$XFD$60" dn="Z_519948E4_0B24_465F_9D9E_44BE50D1D647_.wvu.Rows" sId="1"/>
    <undo index="10" exp="area" ref3D="1" dr="$A$76:$XFD$76" dn="Z_4E221C17_6DAB_4FFA_B18C_35D4D85AF6E8_.wvu.Rows" sId="1"/>
    <undo index="8" exp="area" ref3D="1" dr="$A$72:$XFD$72" dn="Z_4E221C17_6DAB_4FFA_B18C_35D4D85AF6E8_.wvu.Rows" sId="1"/>
    <undo index="6" exp="area" ref3D="1" dr="$A$60:$XFD$60" dn="Z_4E221C17_6DAB_4FFA_B18C_35D4D85AF6E8_.wvu.Rows" sId="1"/>
    <undo index="10" exp="area" ref3D="1" dr="$A$76:$XFD$76" dn="Z_30B635D9_57DB_47D5_8A0F_4B30DD769960_.wvu.Rows" sId="1"/>
    <undo index="8" exp="area" ref3D="1" dr="$A$72:$XFD$72" dn="Z_30B635D9_57DB_47D5_8A0F_4B30DD769960_.wvu.Rows" sId="1"/>
    <undo index="6" exp="area" ref3D="1" dr="$A$60:$XFD$60" dn="Z_30B635D9_57DB_47D5_8A0F_4B30DD769960_.wvu.Rows" sId="1"/>
    <undo index="10" exp="area" ref3D="1" dr="$A$76:$XFD$76" dn="Z_F528EF6A_C113_49B5_B25F_D660F898CBFB_.wvu.Rows" sId="1"/>
    <undo index="8" exp="area" ref3D="1" dr="$A$72:$XFD$72" dn="Z_F528EF6A_C113_49B5_B25F_D660F898CBFB_.wvu.Rows" sId="1"/>
    <undo index="6" exp="area" ref3D="1" dr="$A$60:$XFD$60" dn="Z_F528EF6A_C113_49B5_B25F_D660F898CBFB_.wvu.Rows" sId="1"/>
    <undo index="10" exp="area" ref3D="1" dr="$A$76:$XFD$76" dn="Z_EA46B61D_849C_4795_A4FF_F8F1740022EB_.wvu.Rows" sId="1"/>
    <undo index="8" exp="area" ref3D="1" dr="$A$72:$XFD$72" dn="Z_EA46B61D_849C_4795_A4FF_F8F1740022EB_.wvu.Rows" sId="1"/>
    <undo index="6" exp="area" ref3D="1" dr="$A$60:$XFD$60" dn="Z_EA46B61D_849C_4795_A4FF_F8F1740022EB_.wvu.Rows" sId="1"/>
    <undo index="10" exp="area" ref3D="1" dr="$A$76:$XFD$76" dn="Z_20A05A62_CBE8_4538_BBC3_2AD9D3B8FAC0_.wvu.Rows" sId="1"/>
    <undo index="8" exp="area" ref3D="1" dr="$A$72:$XFD$72" dn="Z_20A05A62_CBE8_4538_BBC3_2AD9D3B8FAC0_.wvu.Rows" sId="1"/>
    <undo index="6" exp="area" ref3D="1" dr="$A$60:$XFD$60" dn="Z_20A05A62_CBE8_4538_BBC3_2AD9D3B8FAC0_.wvu.Rows" sId="1"/>
    <undo index="10" exp="area" ref3D="1" dr="$A$76:$XFD$76" dn="Z_133BB3F8_8DD4_4AEF_8CD6_A5FB14681329_.wvu.Rows" sId="1"/>
    <undo index="8" exp="area" ref3D="1" dr="$A$72:$XFD$72" dn="Z_133BB3F8_8DD4_4AEF_8CD6_A5FB14681329_.wvu.Rows" sId="1"/>
    <undo index="6" exp="area" ref3D="1" dr="$A$60:$XFD$60" dn="Z_133BB3F8_8DD4_4AEF_8CD6_A5FB14681329_.wvu.Rows" sId="1"/>
    <undo index="10" exp="area" ref3D="1" dr="$A$76:$XFD$76" dn="Z_A7640BE7_6438_4196_9A67_AF5B992A1E70_.wvu.Rows" sId="1"/>
    <undo index="8" exp="area" ref3D="1" dr="$A$72:$XFD$72" dn="Z_A7640BE7_6438_4196_9A67_AF5B992A1E70_.wvu.Rows" sId="1"/>
    <undo index="6" exp="area" ref3D="1" dr="$A$60:$XFD$60" dn="Z_A7640BE7_6438_4196_9A67_AF5B992A1E70_.wvu.Rows" sId="1"/>
    <undo index="10" exp="area" ref3D="1" dr="$A$76:$XFD$76" dn="Z_C68436F4_AFB3_4D1D_A7C4_56D0C677D68E_.wvu.Rows" sId="1"/>
    <undo index="8" exp="area" ref3D="1" dr="$A$72:$XFD$72" dn="Z_C68436F4_AFB3_4D1D_A7C4_56D0C677D68E_.wvu.Rows" sId="1"/>
    <undo index="6" exp="area" ref3D="1" dr="$A$60:$XFD$60" dn="Z_C68436F4_AFB3_4D1D_A7C4_56D0C677D68E_.wvu.Rows" sId="1"/>
    <undo index="10" exp="area" ref3D="1" dr="$A$76:$XFD$76" dn="Z_C282AA4E_1BB5_4296_9AC6_844C0F88E5FC_.wvu.Rows" sId="1"/>
    <undo index="8" exp="area" ref3D="1" dr="$A$72:$XFD$72" dn="Z_C282AA4E_1BB5_4296_9AC6_844C0F88E5FC_.wvu.Rows" sId="1"/>
    <undo index="6" exp="area" ref3D="1" dr="$A$60:$XFD$60" dn="Z_C282AA4E_1BB5_4296_9AC6_844C0F88E5FC_.wvu.Rows" sId="1"/>
    <undo index="10" exp="area" ref3D="1" dr="$A$76:$XFD$76" dn="Z_C7DC638A_7F60_46C9_A1FB_9ADEAE87F332_.wvu.Rows" sId="1"/>
    <undo index="8" exp="area" ref3D="1" dr="$A$72:$XFD$72" dn="Z_C7DC638A_7F60_46C9_A1FB_9ADEAE87F332_.wvu.Rows" sId="1"/>
    <undo index="6" exp="area" ref3D="1" dr="$A$60:$XFD$60" dn="Z_C7DC638A_7F60_46C9_A1FB_9ADEAE87F332_.wvu.Rows" sId="1"/>
    <undo index="10" exp="area" ref3D="1" dr="$A$76:$XFD$76" dn="Z_C01DC081_B312_4391_B775_A8CE76216D71_.wvu.Rows" sId="1"/>
    <undo index="8" exp="area" ref3D="1" dr="$A$72:$XFD$72" dn="Z_C01DC081_B312_4391_B775_A8CE76216D71_.wvu.Rows" sId="1"/>
    <undo index="6" exp="area" ref3D="1" dr="$A$60:$XFD$60" dn="Z_C01DC081_B312_4391_B775_A8CE76216D71_.wvu.Rows" sId="1"/>
    <undo index="10" exp="area" ref3D="1" dr="$A$76:$XFD$76" dn="Z_DAEDC989_02E7_4319_8354_59410ACF3F1F_.wvu.Rows" sId="1"/>
    <undo index="8" exp="area" ref3D="1" dr="$A$72:$XFD$72" dn="Z_DAEDC989_02E7_4319_8354_59410ACF3F1F_.wvu.Rows" sId="1"/>
    <undo index="6" exp="area" ref3D="1" dr="$A$60:$XFD$60" dn="Z_DAEDC989_02E7_4319_8354_59410ACF3F1F_.wvu.Rows" sId="1"/>
    <undo index="10" exp="area" ref3D="1" dr="$A$76:$XFD$76" dn="Z_B6B60ED6_A6CC_4DA7_A8CA_5E6DB52D5A87_.wvu.Rows" sId="1"/>
    <undo index="8" exp="area" ref3D="1" dr="$A$72:$XFD$72" dn="Z_B6B60ED6_A6CC_4DA7_A8CA_5E6DB52D5A87_.wvu.Rows" sId="1"/>
    <undo index="6" exp="area" ref3D="1" dr="$A$60:$XFD$60" dn="Z_B6B60ED6_A6CC_4DA7_A8CA_5E6DB52D5A87_.wvu.Rows" sId="1"/>
    <undo index="10" exp="area" ref3D="1" dr="$A$76:$XFD$76" dn="Z_BBF6B43F_E0FC_43DF_B91C_674F6AB4B556_.wvu.Rows" sId="1"/>
    <undo index="8" exp="area" ref3D="1" dr="$A$72:$XFD$72" dn="Z_BBF6B43F_E0FC_43DF_B91C_674F6AB4B556_.wvu.Rows" sId="1"/>
    <undo index="6" exp="area" ref3D="1" dr="$A$60:$XFD$60" dn="Z_BBF6B43F_E0FC_43DF_B91C_674F6AB4B556_.wvu.Rows" sId="1"/>
    <undo index="10" exp="area" ref3D="1" dr="$A$76:$XFD$76" dn="Z_AB9978E4_895D_4050_8F07_2484E22632D1_.wvu.Rows" sId="1"/>
    <undo index="8" exp="area" ref3D="1" dr="$A$72:$XFD$72" dn="Z_AB9978E4_895D_4050_8F07_2484E22632D1_.wvu.Rows" sId="1"/>
    <undo index="6" exp="area" ref3D="1" dr="$A$60:$XFD$60" dn="Z_AB9978E4_895D_4050_8F07_2484E22632D1_.wvu.Rows" sId="1"/>
    <undo index="10" exp="area" ref3D="1" dr="$A$76:$XFD$76" dn="Z_AFADB96A_0516_43C1_9F1B_0604F3CAC04A_.wvu.Rows" sId="1"/>
    <undo index="8" exp="area" ref3D="1" dr="$A$72:$XFD$72" dn="Z_AFADB96A_0516_43C1_9F1B_0604F3CAC04A_.wvu.Rows" sId="1"/>
    <undo index="6" exp="area" ref3D="1" dr="$A$60:$XFD$60" dn="Z_AFADB96A_0516_43C1_9F1B_0604F3CAC04A_.wvu.Rows" sId="1"/>
  </rrc>
  <rfmt sheetId="1" sqref="B58" start="0" length="0">
    <dxf>
      <border outline="0">
        <top style="thin">
          <color indexed="64"/>
        </top>
      </border>
    </dxf>
  </rfmt>
  <rcc rId="245" sId="1">
    <nc r="C58" t="inlineStr">
      <is>
        <t>Всего</t>
      </is>
    </nc>
  </rcc>
  <rcc rId="246" sId="1">
    <nc r="D58">
      <f>D59</f>
    </nc>
  </rcc>
  <rcc rId="247" sId="1">
    <nc r="E58">
      <f>E59</f>
    </nc>
  </rcc>
  <rcc rId="248" sId="1">
    <nc r="F58">
      <f>G58</f>
    </nc>
  </rcc>
  <rcc rId="249" sId="1">
    <nc r="G58">
      <f>G59</f>
    </nc>
  </rcc>
  <rcc rId="250" sId="1">
    <nc r="H58">
      <f>IFERROR(G58/D58*100,0)</f>
    </nc>
  </rcc>
  <rcc rId="251" sId="1">
    <nc r="I58">
      <f>IFERROR(G58/E58*100,0)</f>
    </nc>
  </rcc>
  <rcc rId="252" sId="1" odxf="1" dxf="1">
    <nc r="J58">
      <f>J59</f>
    </nc>
    <odxf>
      <protection locked="0"/>
    </odxf>
    <ndxf>
      <protection locked="1"/>
    </ndxf>
  </rcc>
  <rcc rId="253" sId="1" odxf="1" dxf="1">
    <nc r="K58">
      <f>K59</f>
    </nc>
    <odxf>
      <protection locked="0"/>
    </odxf>
    <ndxf>
      <protection locked="1"/>
    </ndxf>
  </rcc>
  <rcc rId="254" sId="1" odxf="1" dxf="1">
    <nc r="L58">
      <f>L59</f>
    </nc>
    <odxf>
      <protection locked="0"/>
    </odxf>
    <ndxf>
      <protection locked="1"/>
    </ndxf>
  </rcc>
  <rcc rId="255" sId="1" odxf="1" dxf="1">
    <nc r="M58">
      <f>M59</f>
    </nc>
    <odxf>
      <protection locked="0"/>
    </odxf>
    <ndxf>
      <protection locked="1"/>
    </ndxf>
  </rcc>
  <rcc rId="256" sId="1" odxf="1" dxf="1">
    <nc r="N58">
      <f>N59</f>
    </nc>
    <odxf>
      <protection locked="0"/>
    </odxf>
    <ndxf>
      <protection locked="1"/>
    </ndxf>
  </rcc>
  <rcc rId="257" sId="1" odxf="1" dxf="1">
    <nc r="O58">
      <f>O59</f>
    </nc>
    <odxf>
      <protection locked="0"/>
    </odxf>
    <ndxf>
      <protection locked="1"/>
    </ndxf>
  </rcc>
  <rcc rId="258" sId="1" odxf="1" dxf="1">
    <nc r="P58">
      <f>P59</f>
    </nc>
    <odxf>
      <protection locked="0"/>
    </odxf>
    <ndxf>
      <protection locked="1"/>
    </ndxf>
  </rcc>
  <rcc rId="259" sId="1" odxf="1" dxf="1">
    <nc r="Q58">
      <f>Q59</f>
    </nc>
    <odxf>
      <protection locked="0"/>
    </odxf>
    <ndxf>
      <protection locked="1"/>
    </ndxf>
  </rcc>
  <rcc rId="260" sId="1" odxf="1" dxf="1">
    <nc r="R58">
      <f>R59</f>
    </nc>
    <odxf>
      <protection locked="0"/>
    </odxf>
    <ndxf>
      <protection locked="1"/>
    </ndxf>
  </rcc>
  <rcc rId="261" sId="1" odxf="1" dxf="1">
    <nc r="S58">
      <f>S59</f>
    </nc>
    <odxf>
      <protection locked="0"/>
    </odxf>
    <ndxf>
      <protection locked="1"/>
    </ndxf>
  </rcc>
  <rcc rId="262" sId="1" odxf="1" dxf="1">
    <nc r="T58">
      <f>T59</f>
    </nc>
    <odxf>
      <protection locked="0"/>
    </odxf>
    <ndxf>
      <protection locked="1"/>
    </ndxf>
  </rcc>
  <rcc rId="263" sId="1" odxf="1" dxf="1">
    <nc r="U58">
      <f>U59</f>
    </nc>
    <odxf>
      <protection locked="0"/>
    </odxf>
    <ndxf>
      <protection locked="1"/>
    </ndxf>
  </rcc>
  <rcc rId="264" sId="1" odxf="1" dxf="1">
    <nc r="V58">
      <f>V59</f>
    </nc>
    <odxf>
      <protection locked="0"/>
    </odxf>
    <ndxf>
      <protection locked="1"/>
    </ndxf>
  </rcc>
  <rcc rId="265" sId="1" odxf="1" dxf="1">
    <nc r="W58">
      <f>W59</f>
    </nc>
    <odxf>
      <protection locked="0"/>
    </odxf>
    <ndxf>
      <protection locked="1"/>
    </ndxf>
  </rcc>
  <rcc rId="266" sId="1" odxf="1" dxf="1">
    <nc r="X58">
      <f>X59</f>
    </nc>
    <odxf>
      <protection locked="0"/>
    </odxf>
    <ndxf>
      <protection locked="1"/>
    </ndxf>
  </rcc>
  <rcc rId="267" sId="1" odxf="1" dxf="1">
    <nc r="Y58">
      <f>Y59</f>
    </nc>
    <odxf>
      <protection locked="0"/>
    </odxf>
    <ndxf>
      <protection locked="1"/>
    </ndxf>
  </rcc>
  <rcc rId="268" sId="1" odxf="1" dxf="1">
    <nc r="Z58">
      <f>Z59</f>
    </nc>
    <odxf>
      <protection locked="0"/>
    </odxf>
    <ndxf>
      <protection locked="1"/>
    </ndxf>
  </rcc>
  <rcc rId="269" sId="1" odxf="1" dxf="1">
    <nc r="AA58">
      <f>AA59</f>
    </nc>
    <odxf>
      <protection locked="0"/>
    </odxf>
    <ndxf>
      <protection locked="1"/>
    </ndxf>
  </rcc>
  <rcc rId="270" sId="1" odxf="1" dxf="1">
    <nc r="AB58">
      <f>AB59</f>
    </nc>
    <odxf>
      <protection locked="0"/>
    </odxf>
    <ndxf>
      <protection locked="1"/>
    </ndxf>
  </rcc>
  <rcc rId="271" sId="1" odxf="1" dxf="1">
    <nc r="AC58">
      <f>AC59</f>
    </nc>
    <odxf>
      <protection locked="0"/>
    </odxf>
    <ndxf>
      <protection locked="1"/>
    </ndxf>
  </rcc>
  <rcc rId="272" sId="1" odxf="1" dxf="1">
    <nc r="AD58">
      <f>AD59</f>
    </nc>
    <odxf>
      <protection locked="0"/>
    </odxf>
    <ndxf>
      <protection locked="1"/>
    </ndxf>
  </rcc>
  <rcc rId="273" sId="1" odxf="1" dxf="1">
    <nc r="AE58">
      <f>AE59</f>
    </nc>
    <odxf>
      <protection locked="0"/>
    </odxf>
    <ndxf>
      <protection locked="1"/>
    </ndxf>
  </rcc>
  <rcc rId="274" sId="1" odxf="1" dxf="1">
    <nc r="AF58">
      <f>AF59</f>
    </nc>
    <odxf>
      <protection locked="0"/>
    </odxf>
    <ndxf>
      <protection locked="1"/>
    </ndxf>
  </rcc>
  <rcc rId="275" sId="1" odxf="1" dxf="1">
    <nc r="AG58">
      <f>AG59</f>
    </nc>
    <odxf>
      <protection locked="0"/>
    </odxf>
    <ndxf>
      <protection locked="1"/>
    </ndxf>
  </rcc>
  <rcc rId="276" sId="1">
    <nc r="C59" t="inlineStr">
      <is>
        <t>бюджет автономного округа</t>
      </is>
    </nc>
  </rcc>
  <rcc rId="277" sId="1">
    <nc r="D59">
      <f>SUM(J59,L59,N59,P59,R59,T59,V59,X59,Z59,AB59,AD59,AF59)</f>
    </nc>
  </rcc>
  <rcc rId="278" sId="1">
    <nc r="E59">
      <f>J59+L59+N59+P59+R59+T59+V59+X59+Z59+AB59</f>
    </nc>
  </rcc>
  <rcc rId="279" sId="1">
    <nc r="F59">
      <f>G59</f>
    </nc>
  </rcc>
  <rcc rId="280" sId="1">
    <nc r="G59">
      <f>SUM(K59,M59,O59,Q59,S59,U59,W59,Y59,AA59,AC59,AE59,AG59)</f>
    </nc>
  </rcc>
  <rcc rId="281" sId="1">
    <nc r="H59">
      <f>IFERROR(G59/D59*100,0)</f>
    </nc>
  </rcc>
  <rcc rId="282" sId="1">
    <nc r="I59">
      <f>IFERROR(G59/E59*100,0)</f>
    </nc>
  </rcc>
  <rcc rId="283" sId="1" numFmtId="4">
    <nc r="AG59">
      <v>0</v>
    </nc>
  </rcc>
  <rrc rId="284" sId="1" ref="A60:XFD60" action="deleteRow">
    <undo index="10" exp="area" ref3D="1" dr="$A$78:$XFD$78" dn="Z_2A5A11D4_90C6_4A3E_8165_7D7BD634B22F_.wvu.Rows" sId="1"/>
    <undo index="8" exp="area" ref3D="1" dr="$A$74:$XFD$74" dn="Z_2A5A11D4_90C6_4A3E_8165_7D7BD634B22F_.wvu.Rows" sId="1"/>
    <undo index="6" exp="area" ref3D="1" dr="$A$62:$XFD$62" dn="Z_2A5A11D4_90C6_4A3E_8165_7D7BD634B22F_.wvu.Rows" sId="1"/>
    <undo index="10" exp="area" ref3D="1" dr="$A$78:$XFD$78" dn="Z_21E1D423_7B38_4272_8354_09B4DB62C9EB_.wvu.Rows" sId="1"/>
    <undo index="8" exp="area" ref3D="1" dr="$A$74:$XFD$74" dn="Z_21E1D423_7B38_4272_8354_09B4DB62C9EB_.wvu.Rows" sId="1"/>
    <undo index="6" exp="area" ref3D="1" dr="$A$62:$XFD$62" dn="Z_21E1D423_7B38_4272_8354_09B4DB62C9EB_.wvu.Rows" sId="1"/>
    <undo index="10" exp="area" ref3D="1" dr="$A$78:$XFD$78" dn="Z_2940A182_D1A7_43C5_8D6E_965BED4371B0_.wvu.Rows" sId="1"/>
    <undo index="8" exp="area" ref3D="1" dr="$A$74:$XFD$74" dn="Z_2940A182_D1A7_43C5_8D6E_965BED4371B0_.wvu.Rows" sId="1"/>
    <undo index="6" exp="area" ref3D="1" dr="$A$62:$XFD$62" dn="Z_2940A182_D1A7_43C5_8D6E_965BED4371B0_.wvu.Rows" sId="1"/>
    <undo index="10" exp="area" ref3D="1" dr="$A$78:$XFD$78" dn="Z_A4AF2100_C59D_4F60_9EAB_56D9103463F7_.wvu.Rows" sId="1"/>
    <undo index="8" exp="area" ref3D="1" dr="$A$74:$XFD$74" dn="Z_A4AF2100_C59D_4F60_9EAB_56D9103463F7_.wvu.Rows" sId="1"/>
    <undo index="6" exp="area" ref3D="1" dr="$A$62:$XFD$62" dn="Z_A4AF2100_C59D_4F60_9EAB_56D9103463F7_.wvu.Rows" sId="1"/>
    <undo index="10" exp="area" ref3D="1" dr="$A$78:$XFD$78" dn="Z_A0E2FBF6_E560_4343_8BE6_217DC798135B_.wvu.Rows" sId="1"/>
    <undo index="8" exp="area" ref3D="1" dr="$A$74:$XFD$74" dn="Z_A0E2FBF6_E560_4343_8BE6_217DC798135B_.wvu.Rows" sId="1"/>
    <undo index="6" exp="area" ref3D="1" dr="$A$62:$XFD$62" dn="Z_A0E2FBF6_E560_4343_8BE6_217DC798135B_.wvu.Rows" sId="1"/>
    <undo index="8" exp="area" ref3D="1" dr="$A$78:$XFD$78" dn="Z_996EC2F0_F6EC_4E63_A83E_34865157BD8D_.wvu.Rows" sId="1"/>
    <undo index="6" exp="area" ref3D="1" dr="$A$74:$XFD$74" dn="Z_996EC2F0_F6EC_4E63_A83E_34865157BD8D_.wvu.Rows" sId="1"/>
    <undo index="10" exp="area" ref3D="1" dr="$A$78:$XFD$78" dn="Z_7C5A2A36_3D69_43D9_9018_A52C27EC78F9_.wvu.Rows" sId="1"/>
    <undo index="8" exp="area" ref3D="1" dr="$A$74:$XFD$74" dn="Z_7C5A2A36_3D69_43D9_9018_A52C27EC78F9_.wvu.Rows" sId="1"/>
    <undo index="6" exp="area" ref3D="1" dr="$A$62:$XFD$62" dn="Z_7C5A2A36_3D69_43D9_9018_A52C27EC78F9_.wvu.Rows" sId="1"/>
    <undo index="10" exp="area" ref3D="1" dr="$A$78:$XFD$78" dn="Z_562453CE_35F5_40A3_AD14_6399D1197C99_.wvu.Rows" sId="1"/>
    <undo index="8" exp="area" ref3D="1" dr="$A$74:$XFD$74" dn="Z_562453CE_35F5_40A3_AD14_6399D1197C99_.wvu.Rows" sId="1"/>
    <undo index="6" exp="area" ref3D="1" dr="$A$62:$XFD$62" dn="Z_562453CE_35F5_40A3_AD14_6399D1197C99_.wvu.Rows" sId="1"/>
    <undo index="10" exp="area" ref3D="1" dr="$A$78:$XFD$78" dn="Z_60A1F930_4BEC_460A_8E14_01E47F6DD055_.wvu.Rows" sId="1"/>
    <undo index="8" exp="area" ref3D="1" dr="$A$74:$XFD$74" dn="Z_60A1F930_4BEC_460A_8E14_01E47F6DD055_.wvu.Rows" sId="1"/>
    <undo index="6" exp="area" ref3D="1" dr="$A$62:$XFD$62" dn="Z_60A1F930_4BEC_460A_8E14_01E47F6DD055_.wvu.Rows" sId="1"/>
    <undo index="10" exp="area" ref3D="1" dr="$A$78:$XFD$78" dn="Z_5DF2C78B_5EE4_439D_8D72_8D3A913B65F9_.wvu.Rows" sId="1"/>
    <undo index="8" exp="area" ref3D="1" dr="$A$74:$XFD$74" dn="Z_5DF2C78B_5EE4_439D_8D72_8D3A913B65F9_.wvu.Rows" sId="1"/>
    <undo index="6" exp="area" ref3D="1" dr="$A$62:$XFD$62" dn="Z_5DF2C78B_5EE4_439D_8D72_8D3A913B65F9_.wvu.Rows" sId="1"/>
    <undo index="10" exp="area" ref3D="1" dr="$A$78:$XFD$78" dn="Z_519948E4_0B24_465F_9D9E_44BE50D1D647_.wvu.Rows" sId="1"/>
    <undo index="8" exp="area" ref3D="1" dr="$A$74:$XFD$74" dn="Z_519948E4_0B24_465F_9D9E_44BE50D1D647_.wvu.Rows" sId="1"/>
    <undo index="6" exp="area" ref3D="1" dr="$A$62:$XFD$62" dn="Z_519948E4_0B24_465F_9D9E_44BE50D1D647_.wvu.Rows" sId="1"/>
    <undo index="10" exp="area" ref3D="1" dr="$A$78:$XFD$78" dn="Z_4E221C17_6DAB_4FFA_B18C_35D4D85AF6E8_.wvu.Rows" sId="1"/>
    <undo index="8" exp="area" ref3D="1" dr="$A$74:$XFD$74" dn="Z_4E221C17_6DAB_4FFA_B18C_35D4D85AF6E8_.wvu.Rows" sId="1"/>
    <undo index="6" exp="area" ref3D="1" dr="$A$62:$XFD$62" dn="Z_4E221C17_6DAB_4FFA_B18C_35D4D85AF6E8_.wvu.Rows" sId="1"/>
    <undo index="10" exp="area" ref3D="1" dr="$A$78:$XFD$78" dn="Z_30B635D9_57DB_47D5_8A0F_4B30DD769960_.wvu.Rows" sId="1"/>
    <undo index="8" exp="area" ref3D="1" dr="$A$74:$XFD$74" dn="Z_30B635D9_57DB_47D5_8A0F_4B30DD769960_.wvu.Rows" sId="1"/>
    <undo index="6" exp="area" ref3D="1" dr="$A$62:$XFD$62" dn="Z_30B635D9_57DB_47D5_8A0F_4B30DD769960_.wvu.Rows" sId="1"/>
    <undo index="10" exp="area" ref3D="1" dr="$A$78:$XFD$78" dn="Z_F528EF6A_C113_49B5_B25F_D660F898CBFB_.wvu.Rows" sId="1"/>
    <undo index="8" exp="area" ref3D="1" dr="$A$74:$XFD$74" dn="Z_F528EF6A_C113_49B5_B25F_D660F898CBFB_.wvu.Rows" sId="1"/>
    <undo index="6" exp="area" ref3D="1" dr="$A$62:$XFD$62" dn="Z_F528EF6A_C113_49B5_B25F_D660F898CBFB_.wvu.Rows" sId="1"/>
    <undo index="10" exp="area" ref3D="1" dr="$A$78:$XFD$78" dn="Z_EA46B61D_849C_4795_A4FF_F8F1740022EB_.wvu.Rows" sId="1"/>
    <undo index="8" exp="area" ref3D="1" dr="$A$74:$XFD$74" dn="Z_EA46B61D_849C_4795_A4FF_F8F1740022EB_.wvu.Rows" sId="1"/>
    <undo index="6" exp="area" ref3D="1" dr="$A$62:$XFD$62" dn="Z_EA46B61D_849C_4795_A4FF_F8F1740022EB_.wvu.Rows" sId="1"/>
    <undo index="10" exp="area" ref3D="1" dr="$A$78:$XFD$78" dn="Z_20A05A62_CBE8_4538_BBC3_2AD9D3B8FAC0_.wvu.Rows" sId="1"/>
    <undo index="8" exp="area" ref3D="1" dr="$A$74:$XFD$74" dn="Z_20A05A62_CBE8_4538_BBC3_2AD9D3B8FAC0_.wvu.Rows" sId="1"/>
    <undo index="6" exp="area" ref3D="1" dr="$A$62:$XFD$62" dn="Z_20A05A62_CBE8_4538_BBC3_2AD9D3B8FAC0_.wvu.Rows" sId="1"/>
    <undo index="10" exp="area" ref3D="1" dr="$A$78:$XFD$78" dn="Z_133BB3F8_8DD4_4AEF_8CD6_A5FB14681329_.wvu.Rows" sId="1"/>
    <undo index="8" exp="area" ref3D="1" dr="$A$74:$XFD$74" dn="Z_133BB3F8_8DD4_4AEF_8CD6_A5FB14681329_.wvu.Rows" sId="1"/>
    <undo index="6" exp="area" ref3D="1" dr="$A$62:$XFD$62" dn="Z_133BB3F8_8DD4_4AEF_8CD6_A5FB14681329_.wvu.Rows" sId="1"/>
    <undo index="10" exp="area" ref3D="1" dr="$A$78:$XFD$78" dn="Z_A7640BE7_6438_4196_9A67_AF5B992A1E70_.wvu.Rows" sId="1"/>
    <undo index="8" exp="area" ref3D="1" dr="$A$74:$XFD$74" dn="Z_A7640BE7_6438_4196_9A67_AF5B992A1E70_.wvu.Rows" sId="1"/>
    <undo index="6" exp="area" ref3D="1" dr="$A$62:$XFD$62" dn="Z_A7640BE7_6438_4196_9A67_AF5B992A1E70_.wvu.Rows" sId="1"/>
    <undo index="10" exp="area" ref3D="1" dr="$A$78:$XFD$78" dn="Z_C68436F4_AFB3_4D1D_A7C4_56D0C677D68E_.wvu.Rows" sId="1"/>
    <undo index="8" exp="area" ref3D="1" dr="$A$74:$XFD$74" dn="Z_C68436F4_AFB3_4D1D_A7C4_56D0C677D68E_.wvu.Rows" sId="1"/>
    <undo index="6" exp="area" ref3D="1" dr="$A$62:$XFD$62" dn="Z_C68436F4_AFB3_4D1D_A7C4_56D0C677D68E_.wvu.Rows" sId="1"/>
    <undo index="10" exp="area" ref3D="1" dr="$A$78:$XFD$78" dn="Z_C282AA4E_1BB5_4296_9AC6_844C0F88E5FC_.wvu.Rows" sId="1"/>
    <undo index="8" exp="area" ref3D="1" dr="$A$74:$XFD$74" dn="Z_C282AA4E_1BB5_4296_9AC6_844C0F88E5FC_.wvu.Rows" sId="1"/>
    <undo index="6" exp="area" ref3D="1" dr="$A$62:$XFD$62" dn="Z_C282AA4E_1BB5_4296_9AC6_844C0F88E5FC_.wvu.Rows" sId="1"/>
    <undo index="10" exp="area" ref3D="1" dr="$A$78:$XFD$78" dn="Z_C7DC638A_7F60_46C9_A1FB_9ADEAE87F332_.wvu.Rows" sId="1"/>
    <undo index="8" exp="area" ref3D="1" dr="$A$74:$XFD$74" dn="Z_C7DC638A_7F60_46C9_A1FB_9ADEAE87F332_.wvu.Rows" sId="1"/>
    <undo index="6" exp="area" ref3D="1" dr="$A$62:$XFD$62" dn="Z_C7DC638A_7F60_46C9_A1FB_9ADEAE87F332_.wvu.Rows" sId="1"/>
    <undo index="10" exp="area" ref3D="1" dr="$A$78:$XFD$78" dn="Z_C01DC081_B312_4391_B775_A8CE76216D71_.wvu.Rows" sId="1"/>
    <undo index="8" exp="area" ref3D="1" dr="$A$74:$XFD$74" dn="Z_C01DC081_B312_4391_B775_A8CE76216D71_.wvu.Rows" sId="1"/>
    <undo index="6" exp="area" ref3D="1" dr="$A$62:$XFD$62" dn="Z_C01DC081_B312_4391_B775_A8CE76216D71_.wvu.Rows" sId="1"/>
    <undo index="10" exp="area" ref3D="1" dr="$A$78:$XFD$78" dn="Z_DAEDC989_02E7_4319_8354_59410ACF3F1F_.wvu.Rows" sId="1"/>
    <undo index="8" exp="area" ref3D="1" dr="$A$74:$XFD$74" dn="Z_DAEDC989_02E7_4319_8354_59410ACF3F1F_.wvu.Rows" sId="1"/>
    <undo index="6" exp="area" ref3D="1" dr="$A$62:$XFD$62" dn="Z_DAEDC989_02E7_4319_8354_59410ACF3F1F_.wvu.Rows" sId="1"/>
    <undo index="10" exp="area" ref3D="1" dr="$A$78:$XFD$78" dn="Z_B6B60ED6_A6CC_4DA7_A8CA_5E6DB52D5A87_.wvu.Rows" sId="1"/>
    <undo index="8" exp="area" ref3D="1" dr="$A$74:$XFD$74" dn="Z_B6B60ED6_A6CC_4DA7_A8CA_5E6DB52D5A87_.wvu.Rows" sId="1"/>
    <undo index="6" exp="area" ref3D="1" dr="$A$62:$XFD$62" dn="Z_B6B60ED6_A6CC_4DA7_A8CA_5E6DB52D5A87_.wvu.Rows" sId="1"/>
    <undo index="10" exp="area" ref3D="1" dr="$A$78:$XFD$78" dn="Z_BBF6B43F_E0FC_43DF_B91C_674F6AB4B556_.wvu.Rows" sId="1"/>
    <undo index="8" exp="area" ref3D="1" dr="$A$74:$XFD$74" dn="Z_BBF6B43F_E0FC_43DF_B91C_674F6AB4B556_.wvu.Rows" sId="1"/>
    <undo index="6" exp="area" ref3D="1" dr="$A$62:$XFD$62" dn="Z_BBF6B43F_E0FC_43DF_B91C_674F6AB4B556_.wvu.Rows" sId="1"/>
    <undo index="10" exp="area" ref3D="1" dr="$A$78:$XFD$78" dn="Z_AB9978E4_895D_4050_8F07_2484E22632D1_.wvu.Rows" sId="1"/>
    <undo index="8" exp="area" ref3D="1" dr="$A$74:$XFD$74" dn="Z_AB9978E4_895D_4050_8F07_2484E22632D1_.wvu.Rows" sId="1"/>
    <undo index="6" exp="area" ref3D="1" dr="$A$62:$XFD$62" dn="Z_AB9978E4_895D_4050_8F07_2484E22632D1_.wvu.Rows" sId="1"/>
    <undo index="10" exp="area" ref3D="1" dr="$A$78:$XFD$78" dn="Z_AFADB96A_0516_43C1_9F1B_0604F3CAC04A_.wvu.Rows" sId="1"/>
    <undo index="8" exp="area" ref3D="1" dr="$A$74:$XFD$74" dn="Z_AFADB96A_0516_43C1_9F1B_0604F3CAC04A_.wvu.Rows" sId="1"/>
    <undo index="6" exp="area" ref3D="1" dr="$A$62:$XFD$62" dn="Z_AFADB96A_0516_43C1_9F1B_0604F3CAC04A_.wvu.Rows" sId="1"/>
    <rfmt sheetId="1" xfDxf="1" s="1" sqref="A60:XFD60" start="0" length="0">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rfmt>
    <rfmt sheetId="1" sqref="A60" start="0" length="0">
      <dxf>
        <font>
          <sz val="12"/>
          <color auto="1"/>
          <name val="Times New Roman"/>
          <scheme val="none"/>
        </font>
        <alignment horizontal="center" readingOrder="0"/>
        <border outline="0">
          <left style="thin">
            <color indexed="64"/>
          </left>
          <right style="thin">
            <color indexed="64"/>
          </right>
        </border>
      </dxf>
    </rfmt>
    <rfmt sheetId="1" sqref="B60" start="0" length="0">
      <dxf>
        <font>
          <i/>
          <sz val="12"/>
          <color auto="1"/>
          <name val="Times New Roman"/>
          <scheme val="none"/>
        </font>
        <alignment horizontal="right" wrapText="1" readingOrder="0"/>
        <border outline="0">
          <left style="thin">
            <color indexed="64"/>
          </left>
          <right style="thin">
            <color indexed="64"/>
          </right>
          <bottom style="thin">
            <color indexed="64"/>
          </bottom>
        </border>
      </dxf>
    </rfmt>
    <rfmt sheetId="1" sqref="C60" start="0" length="0">
      <dxf>
        <font>
          <color auto="1"/>
          <name val="Times New Roman"/>
          <scheme val="none"/>
        </font>
        <alignment horizontal="left" wrapText="1" readingOrder="0"/>
        <border outline="0">
          <left style="thin">
            <color indexed="64"/>
          </left>
          <right style="thin">
            <color indexed="64"/>
          </right>
          <top style="thin">
            <color indexed="64"/>
          </top>
          <bottom style="thin">
            <color indexed="64"/>
          </bottom>
        </border>
      </dxf>
    </rfmt>
    <rfmt sheetId="1" sqref="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H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I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J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K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L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M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N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O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P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Q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R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S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T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U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V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W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X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Y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Z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A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B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C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H60" start="0" length="0">
      <dxf>
        <font>
          <sz val="12"/>
          <color auto="1"/>
          <name val="Times New Roman"/>
          <scheme val="none"/>
        </font>
        <alignment wrapText="1" readingOrder="0"/>
        <border outline="0">
          <left style="thin">
            <color indexed="64"/>
          </left>
          <right style="thin">
            <color indexed="64"/>
          </right>
          <top style="thin">
            <color indexed="64"/>
          </top>
          <bottom style="thin">
            <color indexed="64"/>
          </bottom>
        </border>
      </dxf>
    </rfmt>
    <rfmt sheetId="1" sqref="AI60" start="0" length="0">
      <dxf>
        <font>
          <sz val="16"/>
          <color auto="1"/>
        </font>
        <numFmt numFmtId="166" formatCode="#,##0.00_ ;[Red]\-#,##0.00\ "/>
      </dxf>
    </rfmt>
  </rrc>
  <rcc rId="285" sId="1">
    <nc r="B58" t="inlineStr">
      <is>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is>
    </nc>
  </rcc>
  <rcc rId="286" sId="1" numFmtId="4">
    <nc r="AF59">
      <v>33.32</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 sId="1">
    <oc r="K34">
      <f>K68</f>
    </oc>
    <nc r="K34">
      <f>K68</f>
    </nc>
  </rcc>
  <rcc rId="288" sId="1">
    <oc r="J39">
      <f>J47+J49+J51+J54+J56+J44</f>
    </oc>
    <nc r="J39">
      <f>J47+J49+J51+J54+J56+J44+J58</f>
    </nc>
  </rcc>
  <rcc rId="289" sId="1">
    <oc r="K39">
      <f>K47+K49+K51+K54+K56</f>
    </oc>
    <nc r="K39">
      <f>K47+K49+K51+K54+K56+K44+K58</f>
    </nc>
  </rcc>
  <rcc rId="290" sId="1">
    <oc r="L39">
      <f>L47+L49+L51+L54+L56</f>
    </oc>
    <nc r="L39">
      <f>L47+L49+L51+L54+L56+L44+L58</f>
    </nc>
  </rcc>
  <rcc rId="291" sId="1">
    <oc r="M39">
      <f>M47+M49+M51+M54+M56</f>
    </oc>
    <nc r="M39">
      <f>M47+M49+M51+M54+M56+M44+M58</f>
    </nc>
  </rcc>
  <rcc rId="292" sId="1">
    <oc r="N39">
      <f>N47+N49+N51+N54+N56</f>
    </oc>
    <nc r="N39">
      <f>N47+N49+N51+N54+N56+N44+N58</f>
    </nc>
  </rcc>
  <rcc rId="293" sId="1">
    <oc r="O39">
      <f>O47+O49+O51+O54+O56</f>
    </oc>
    <nc r="O39">
      <f>O47+O49+O51+O54+O56+O44+O58</f>
    </nc>
  </rcc>
  <rcc rId="294" sId="1">
    <oc r="P39">
      <f>P47+P49+P51+P54+P56</f>
    </oc>
    <nc r="P39">
      <f>P47+P49+P51+P54+P56+P44+P58</f>
    </nc>
  </rcc>
  <rcc rId="295" sId="1">
    <oc r="Q39">
      <f>Q47+Q49+Q51+Q54+Q56</f>
    </oc>
    <nc r="Q39">
      <f>Q47+Q49+Q51+Q54+Q56+Q44+Q58</f>
    </nc>
  </rcc>
  <rcc rId="296" sId="1">
    <oc r="R39">
      <f>R47+R49+R51+R54+R56</f>
    </oc>
    <nc r="R39">
      <f>R47+R49+R51+R54+R56+R44+R58</f>
    </nc>
  </rcc>
  <rcc rId="297" sId="1">
    <oc r="S39">
      <f>S47+S49+S51+S54+S56</f>
    </oc>
    <nc r="S39">
      <f>S47+S49+S51+S54+S56+S44+S58</f>
    </nc>
  </rcc>
  <rcc rId="298" sId="1">
    <oc r="T39">
      <f>T47+T49+T51+T54+T56</f>
    </oc>
    <nc r="T39">
      <f>T47+T49+T51+T54+T56+T44+T58</f>
    </nc>
  </rcc>
  <rcc rId="299" sId="1">
    <oc r="U39">
      <f>U47+U49+U51+U54+U56</f>
    </oc>
    <nc r="U39">
      <f>U47+U49+U51+U54+U56+U44+U58</f>
    </nc>
  </rcc>
  <rcc rId="300" sId="1">
    <oc r="V39">
      <f>V47+V49+V51+V54+V56</f>
    </oc>
    <nc r="V39">
      <f>V47+V49+V51+V54+V56+V44+V58</f>
    </nc>
  </rcc>
  <rcc rId="301" sId="1">
    <oc r="W39">
      <f>W47+W49+W51+W54+W56</f>
    </oc>
    <nc r="W39">
      <f>W47+W49+W51+W54+W56+W44+W58</f>
    </nc>
  </rcc>
  <rcc rId="302" sId="1">
    <oc r="X39">
      <f>X47+X49+X51+X54+X56</f>
    </oc>
    <nc r="X39">
      <f>X47+X49+X51+X54+X56+X44+X58</f>
    </nc>
  </rcc>
  <rcc rId="303" sId="1">
    <oc r="Y39">
      <f>Y47+Y49+Y51+Y54+Y56</f>
    </oc>
    <nc r="Y39">
      <f>Y47+Y49+Y51+Y54+Y56+Y44+Y58</f>
    </nc>
  </rcc>
  <rcc rId="304" sId="1">
    <oc r="Z39">
      <f>Z47+Z49+Z51+Z54+Z56</f>
    </oc>
    <nc r="Z39">
      <f>Z47+Z49+Z51+Z54+Z56+Z44+Z58</f>
    </nc>
  </rcc>
  <rcc rId="305" sId="1">
    <oc r="AA39">
      <f>AA47+AA49+AA51+AA54+AA56</f>
    </oc>
    <nc r="AA39">
      <f>AA47+AA49+AA51+AA54+AA56+AA44+AA58</f>
    </nc>
  </rcc>
  <rcc rId="306" sId="1">
    <oc r="AB39">
      <f>AB47+AB49+AB51+AB54+AB56</f>
    </oc>
    <nc r="AB39">
      <f>AB47+AB49+AB51+AB54+AB56+AB44+AB58</f>
    </nc>
  </rcc>
  <rcc rId="307" sId="1">
    <oc r="AC39">
      <f>AC47+AC49+AC51+AC54+AC56</f>
    </oc>
    <nc r="AC39">
      <f>AC47+AC49+AC51+AC54+AC56+AC44+AC58</f>
    </nc>
  </rcc>
  <rcc rId="308" sId="1">
    <oc r="AD39">
      <f>AD47+AD49+AD51+AD54+AD56</f>
    </oc>
    <nc r="AD39">
      <f>AD47+AD49+AD51+AD54+AD56+AD44+AD58</f>
    </nc>
  </rcc>
  <rcc rId="309" sId="1">
    <oc r="AE39">
      <f>AE47+AE49+AE51+AE54+AE56</f>
    </oc>
    <nc r="AE39">
      <f>AE47+AE49+AE51+AE54+AE56+AE44+AE58</f>
    </nc>
  </rcc>
  <rcc rId="310" sId="1">
    <oc r="AF39">
      <f>AF47+AF49+AF51+AF54+AF56</f>
    </oc>
    <nc r="AF39">
      <f>AF47+AF49+AF51+AF54+AF56+AF44+AF58</f>
    </nc>
  </rcc>
  <rcc rId="311" sId="1">
    <oc r="AG39">
      <f>AG47+AG49+AG51+AG54+AG56</f>
    </oc>
    <nc r="AG39">
      <f>AG47+AG49+AG51+AG54+AG56+AG44+AG58</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 sId="1">
    <oc r="E74">
      <f>J74+L74+N74+P74+R74+T74</f>
    </oc>
    <nc r="E74">
      <f>J74+L74+N74+P74+R74+T74+V74+X74+Z74+AB74</f>
    </nc>
  </rcc>
  <rcc rId="313" sId="1">
    <oc r="E75">
      <f>J75+L75+N75+P75+R75+T75</f>
    </oc>
    <nc r="E75">
      <f>J75+L75+N75+P75+R75+T75+V75+X75+Z75+AB75</f>
    </nc>
  </rcc>
  <rcc rId="314" sId="1">
    <oc r="E78">
      <f>J78+L78+N78+P78+R78+T78</f>
    </oc>
    <nc r="E78">
      <f>J78+L78+N78+P78+R78+T78+V78+X78+Z78+AB78</f>
    </nc>
  </rcc>
  <rcc rId="315" sId="1">
    <oc r="E79">
      <f>J79+L79+N79+P79+R79+T79</f>
    </oc>
    <nc r="E79">
      <f>J79+L79+N79+P79+R79+T79+V79+X79+Z79+AB79</f>
    </nc>
  </rcc>
  <rcc rId="316" sId="1">
    <oc r="E80">
      <f>J80+L80+N80+P80+R80+T80</f>
    </oc>
    <nc r="E80">
      <f>J80+L80+N80+P80+R80+T80+V80+X80+Z80+AB80</f>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7" sId="1">
    <oc r="E80">
      <f>J80+L80+N80+P80+R80+T80+V80+X80+Z80+AB80</f>
    </oc>
    <nc r="E80">
      <f>J80+L80+N80+P80+R80+T80+V80+X80+Z80+AB80</f>
    </nc>
  </rcc>
  <rcc rId="318" sId="1" numFmtId="4">
    <oc r="W80">
      <v>0</v>
    </oc>
    <nc r="W80">
      <v>653.5</v>
    </nc>
  </rcc>
  <rcc rId="319" sId="1" numFmtId="4">
    <oc r="X80">
      <v>0</v>
    </oc>
    <nc r="X80">
      <v>2000</v>
    </nc>
  </rcc>
  <rcc rId="320" sId="1" numFmtId="4">
    <oc r="Y80">
      <v>0</v>
    </oc>
    <nc r="Y80">
      <v>2000</v>
    </nc>
  </rcc>
  <rcc rId="321" sId="1" numFmtId="4">
    <oc r="Z80">
      <v>0</v>
    </oc>
    <nc r="Z80">
      <v>2159.09</v>
    </nc>
  </rcc>
  <rcc rId="322" sId="1" numFmtId="4">
    <oc r="AA80">
      <v>0</v>
    </oc>
    <nc r="AA80">
      <v>2159.09</v>
    </nc>
  </rcc>
  <rcc rId="323" sId="1">
    <oc r="AF80">
      <f>16585.9-1211.53-9002.92</f>
    </oc>
    <nc r="AF80">
      <f>16585.9-1211.53-9002.92-4159.09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solid">
          <bgColor rgb="FF92D05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B11" start="0" length="2147483647">
    <dxf>
      <font>
        <color auto="1"/>
      </font>
    </dxf>
  </rfmt>
  <rfmt sheetId="8" sqref="B18:B20" start="0" length="2147483647">
    <dxf>
      <font>
        <color auto="1"/>
      </font>
    </dxf>
  </rfmt>
  <rfmt sheetId="8" sqref="B49:B50" start="0" length="2147483647">
    <dxf>
      <font>
        <color auto="1"/>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4" sId="1">
    <oc r="AF80">
      <f>16585.9-1211.53-9002.92-4159.09</f>
    </oc>
    <nc r="AF80"/>
  </rcc>
  <rcc rId="325" sId="1" numFmtId="4">
    <oc r="Z80">
      <v>2159.09</v>
    </oc>
    <nc r="Z80">
      <f>2159.09-1522.07</f>
    </nc>
  </rcc>
  <rcc rId="326" sId="1">
    <oc r="I80">
      <f>IFERROR(G80/E80*100,0)</f>
    </oc>
    <nc r="I80">
      <f>IFERROR(G80/E80*100,0)</f>
    </nc>
  </rcc>
  <rcc rId="327" sId="1">
    <oc r="H80">
      <f>IFERROR(G80/D80*100,0)</f>
    </oc>
    <nc r="H80">
      <f>IFERROR(G80/D80*100,0)</f>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8" sId="1" numFmtId="4">
    <oc r="W78">
      <v>0</v>
    </oc>
    <nc r="W78">
      <v>10144.65</v>
    </nc>
  </rcc>
  <rcc rId="329" sId="1" numFmtId="4">
    <oc r="X78">
      <v>0</v>
    </oc>
    <nc r="X78">
      <v>3000</v>
    </nc>
  </rcc>
  <rcc rId="330" sId="1" numFmtId="4">
    <oc r="Y78">
      <v>0</v>
    </oc>
    <nc r="Y78">
      <v>3000</v>
    </nc>
  </rcc>
  <rcc rId="331" sId="1" numFmtId="4">
    <oc r="Z78">
      <v>0</v>
    </oc>
    <nc r="Z78">
      <v>3000</v>
    </nc>
  </rcc>
  <rcc rId="332" sId="1" numFmtId="4">
    <oc r="AA78">
      <v>0</v>
    </oc>
    <nc r="AA78">
      <v>3000</v>
    </nc>
  </rcc>
  <rcc rId="333" sId="1" numFmtId="4">
    <oc r="AC78">
      <v>0</v>
    </oc>
    <nc r="AC78">
      <v>832.64</v>
    </nc>
  </rcc>
  <rcc rId="334" sId="1" numFmtId="4">
    <oc r="R78">
      <f>9685.806-4872.22</f>
    </oc>
    <nc r="R78">
      <v>805.14</v>
    </nc>
  </rcc>
  <rcc rId="335" sId="1" numFmtId="4">
    <oc r="T78">
      <f>10161.6-235.59</f>
    </oc>
    <nc r="T78">
      <v>28.79</v>
    </nc>
  </rcc>
  <rcc rId="336" sId="1" numFmtId="4">
    <oc r="AB78">
      <v>0</v>
    </oc>
    <nc r="AB78">
      <f>1636.46+832.64</f>
    </nc>
  </rcc>
  <rcc rId="337" sId="1" numFmtId="4">
    <oc r="AD78">
      <v>0</v>
    </oc>
    <nc r="AD78">
      <v>418.29</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none">
          <bgColor auto="1"/>
        </patternFill>
      </fill>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8" sId="1">
    <oc r="E82">
      <f>J82+L82+N82+P82+R82+T82</f>
    </oc>
    <nc r="E82">
      <f>J82+L82+N82+P82+R82+T82+V82+X82+Z82+AB82</f>
    </nc>
  </rcc>
  <rcc rId="339" sId="1">
    <oc r="E84">
      <f>J84+L84+N84+P84+R84+T84+V84</f>
    </oc>
    <nc r="E84">
      <f>J84+L84+N84+P84+R84+T84+V84+X84+Z84+AB84</f>
    </nc>
  </rcc>
  <rcc rId="340" sId="1">
    <oc r="E85">
      <f>J85+L85+N85+P85+R85+T85</f>
    </oc>
    <nc r="E85">
      <f>J85+L85+N85+P85+R85+T85+V85+X85+Z85+AB85</f>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1" sId="1">
    <oc r="E87">
      <f>J87+L87+N87</f>
    </oc>
    <nc r="E87">
      <f>J87+L87+N87+P87+R87+T87+V87+X87+Z87+AB87</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numFmtId="4">
    <oc r="AA85">
      <v>0</v>
    </oc>
    <nc r="AA85">
      <v>1055.98</v>
    </nc>
  </rcc>
  <rcc rId="343" sId="1">
    <oc r="T85">
      <f>145-102.58</f>
    </oc>
    <nc r="T85">
      <f>145-102.58+478.88</f>
    </nc>
  </rcc>
  <rcc rId="344" sId="1">
    <oc r="AF85">
      <f>1753.2+731+2380.4-3894.72</f>
    </oc>
    <nc r="AF85">
      <f>1753.2+731+2380.4-3894.72-478.88</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5" sId="12" numFmtId="19">
    <oc r="E6">
      <v>45931</v>
    </oc>
    <nc r="E6">
      <v>45962</v>
    </nc>
  </rcc>
  <rcc rId="346" sId="12" numFmtId="19">
    <oc r="G6">
      <v>45931</v>
    </oc>
    <nc r="G6">
      <v>45962</v>
    </nc>
  </rcc>
  <rcc rId="347" sId="12" numFmtId="4">
    <oc r="L13">
      <v>12.73</v>
    </oc>
    <nc r="L13">
      <v>12.72</v>
    </nc>
  </rcc>
  <rcc rId="348" sId="12">
    <oc r="R9">
      <f>R13</f>
    </oc>
    <nc r="R9">
      <f>R13</f>
    </nc>
  </rcc>
  <rcc rId="349" sId="12">
    <oc r="J9">
      <f>J13</f>
    </oc>
    <nc r="J9">
      <f>J13</f>
    </nc>
  </rcc>
  <rcc rId="350" sId="12">
    <oc r="K9">
      <f>K13</f>
    </oc>
    <nc r="K9">
      <f>K13</f>
    </nc>
  </rcc>
  <rcc rId="351" sId="12">
    <oc r="L10">
      <f>L15</f>
    </oc>
    <nc r="L10">
      <f>L15</f>
    </nc>
  </rcc>
  <rcc rId="352" sId="12">
    <oc r="K10">
      <f>K15</f>
    </oc>
    <nc r="K10">
      <f>K15</f>
    </nc>
  </rcc>
  <rcc rId="353" sId="12">
    <oc r="M10">
      <f>M13+M15</f>
    </oc>
    <nc r="M10">
      <f>M15</f>
    </nc>
  </rcc>
  <rcc rId="354" sId="12">
    <oc r="N10">
      <f>N13+N15</f>
    </oc>
    <nc r="N10">
      <f>N15</f>
    </nc>
  </rcc>
  <rcc rId="355" sId="12">
    <oc r="O10">
      <f>O13+O15</f>
    </oc>
    <nc r="O10">
      <f>O15</f>
    </nc>
  </rcc>
  <rcc rId="356" sId="12">
    <oc r="P10">
      <f>P13+P15</f>
    </oc>
    <nc r="P10">
      <f>P15</f>
    </nc>
  </rcc>
  <rcc rId="357" sId="12">
    <oc r="Q10">
      <f>Q13+Q15</f>
    </oc>
    <nc r="Q10">
      <f>Q15</f>
    </nc>
  </rcc>
  <rcc rId="358" sId="12">
    <oc r="R10">
      <f>R13+R15</f>
    </oc>
    <nc r="R10">
      <f>R15</f>
    </nc>
  </rcc>
  <rcc rId="359" sId="12">
    <oc r="S10">
      <f>S13+S15</f>
    </oc>
    <nc r="S10">
      <f>S15</f>
    </nc>
  </rcc>
  <rcc rId="360" sId="12">
    <oc r="T10">
      <f>T13+T15</f>
    </oc>
    <nc r="T10">
      <f>T15</f>
    </nc>
  </rcc>
  <rcc rId="361" sId="12">
    <oc r="U10">
      <f>U13+U15</f>
    </oc>
    <nc r="U10">
      <f>U15</f>
    </nc>
  </rcc>
  <rcc rId="362" sId="12">
    <oc r="V10">
      <f>V13+V15</f>
    </oc>
    <nc r="V10">
      <f>V15</f>
    </nc>
  </rcc>
  <rcc rId="363" sId="12">
    <oc r="W10">
      <f>W13+W15</f>
    </oc>
    <nc r="W10">
      <f>W15</f>
    </nc>
  </rcc>
  <rcc rId="364" sId="12">
    <oc r="X10">
      <f>X13+X15</f>
    </oc>
    <nc r="X10">
      <f>X15</f>
    </nc>
  </rcc>
  <rcc rId="365" sId="12">
    <oc r="Y10">
      <f>Y13+Y15</f>
    </oc>
    <nc r="Y10">
      <f>Y15</f>
    </nc>
  </rcc>
  <rcc rId="366" sId="12">
    <oc r="Z10">
      <f>Z13+Z15</f>
    </oc>
    <nc r="Z10">
      <f>Z15</f>
    </nc>
  </rcc>
  <rcc rId="367" sId="12">
    <oc r="AA10">
      <f>AA13+AA15</f>
    </oc>
    <nc r="AA10">
      <f>AA15</f>
    </nc>
  </rcc>
  <rcc rId="368" sId="12">
    <oc r="AB10">
      <f>AB13+AB15</f>
    </oc>
    <nc r="AB10">
      <f>AB15</f>
    </nc>
  </rcc>
  <rcc rId="369" sId="12">
    <oc r="AC10">
      <f>AC13+AC15</f>
    </oc>
    <nc r="AC10">
      <f>AC15</f>
    </nc>
  </rcc>
  <rcc rId="370" sId="12">
    <oc r="AD10">
      <f>AD13+AD15</f>
    </oc>
    <nc r="AD10">
      <f>AD15</f>
    </nc>
  </rcc>
  <rcc rId="371" sId="12">
    <oc r="AE10">
      <f>AE13+AE15</f>
    </oc>
    <nc r="AE10">
      <f>AE15</f>
    </nc>
  </rcc>
  <rcc rId="372" sId="12">
    <oc r="AF10">
      <f>AF13+AF15</f>
    </oc>
    <nc r="AF10">
      <f>AF15</f>
    </nc>
  </rcc>
  <rcc rId="373" sId="12">
    <oc r="AG10">
      <f>AG13+AG15</f>
    </oc>
    <nc r="AG10">
      <f>AG15</f>
    </nc>
  </rcc>
  <rcc rId="374" sId="12">
    <oc r="E13">
      <f>J13+L13+N13+P13+R13+T13+V13+X13+Z13</f>
    </oc>
    <nc r="E13">
      <f>J13+L13+N13+P13+R13+T13+V13+X13+Z13+AB13</f>
    </nc>
  </rcc>
  <rcc rId="375" sId="12">
    <oc r="E15">
      <f>J15+L15+N15+P15+R15+T15+V15+X15+Z15</f>
    </oc>
    <nc r="E15">
      <f>J15+L15+N15+P15+R15+T15+V15+X15+Z15+AB15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4" sId="1" numFmtId="4">
    <oc r="AC87">
      <v>0</v>
    </oc>
    <nc r="AC87">
      <v>626.29</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9" numFmtId="19">
    <oc r="E6">
      <v>45931</v>
    </oc>
    <nc r="E6">
      <v>45962</v>
    </nc>
  </rcc>
  <rcc rId="386" sId="9" numFmtId="19">
    <oc r="F6">
      <v>45931</v>
    </oc>
    <nc r="F6">
      <v>45962</v>
    </nc>
  </rcc>
  <rcc rId="387" sId="9" numFmtId="4">
    <oc r="D22">
      <v>233386.74</v>
    </oc>
    <nc r="D22">
      <v>233475.34</v>
    </nc>
  </rcc>
  <rcc rId="388" sId="9" numFmtId="4">
    <oc r="D21">
      <v>233386.74</v>
    </oc>
    <nc r="D21">
      <v>233475.34</v>
    </nc>
  </rcc>
  <rcc rId="389" sId="9" numFmtId="4">
    <oc r="E22">
      <v>109646.03</v>
    </oc>
    <nc r="E22">
      <v>138799.85</v>
    </nc>
  </rcc>
  <rcc rId="390" sId="9" numFmtId="4">
    <oc r="F22">
      <v>109646.03</v>
    </oc>
    <nc r="F22">
      <v>110918.92</v>
    </nc>
  </rcc>
  <rcc rId="391" sId="9" numFmtId="19">
    <oc r="G6">
      <v>45931</v>
    </oc>
    <nc r="G6">
      <v>45962</v>
    </nc>
  </rcc>
  <rcc rId="392" sId="9" numFmtId="4">
    <oc r="G22">
      <v>109646.03</v>
    </oc>
    <nc r="G22">
      <v>110918.92</v>
    </nc>
  </rcc>
  <rcc rId="393" sId="9" numFmtId="4">
    <oc r="AB22">
      <v>29121.47</v>
    </oc>
    <nc r="AB22">
      <v>29153.82</v>
    </nc>
  </rcc>
  <rcc rId="394" sId="9" numFmtId="4">
    <oc r="AC22">
      <v>0</v>
    </oc>
    <nc r="AC22">
      <v>1272.8900000000001</v>
    </nc>
  </rcc>
  <rcc rId="395" sId="9" numFmtId="4">
    <oc r="AD22">
      <v>0</v>
    </oc>
    <nc r="AD22">
      <v>88.6</v>
    </nc>
  </rcc>
  <rcc rId="396" sId="9" numFmtId="4">
    <oc r="AF22">
      <v>94619.24</v>
    </oc>
    <nc r="AF22">
      <v>94586.89</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7" sId="12" numFmtId="4">
    <oc r="V13">
      <v>12.73</v>
    </oc>
    <nc r="V13">
      <v>12.72</v>
    </nc>
  </rcc>
  <rcc rId="398" sId="12" numFmtId="4">
    <oc r="AC13">
      <v>0</v>
    </oc>
    <nc r="AC13">
      <v>12.73</v>
    </nc>
  </rcc>
  <rcc rId="399" sId="12" numFmtId="4">
    <oc r="AC15">
      <v>0</v>
    </oc>
    <nc r="AC15">
      <v>1199</v>
    </nc>
  </rcc>
  <rcc rId="400" sId="12" numFmtId="4">
    <oc r="AF13">
      <v>34.429000000000002</v>
    </oc>
    <nc r="AF13">
      <v>35.729999999999997</v>
    </nc>
  </rcc>
  <rcc rId="401" sId="12">
    <oc r="AH14" t="inlineStr">
      <is>
        <t xml:space="preserve"> 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21.04.2025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-торги 30.04.2025
-аукцион не состоялся, по причине отклонения всех участников закупки, протокол 06.05.2025
22.05.2025 повторно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 торги 30.05.2025
- идет процедура заключения контракта </t>
      </is>
    </oc>
    <nc r="AH14" t="inlineStr">
      <is>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is>
    </nc>
  </rcc>
  <rcc rId="402" sId="12" odxf="1" dxf="1">
    <nc r="AH13" t="inlineStr">
      <is>
        <t>Неосвоение средств образвалось в связи с наличием больничного листа у сотрудника в обязанности которого входит исполнение данного мероприятия</t>
      </is>
    </nc>
    <ndxf>
      <font>
        <b val="0"/>
        <sz val="10"/>
        <color auto="1"/>
        <name val="Times New Roman"/>
        <scheme val="none"/>
      </font>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8" numFmtId="4">
    <oc r="W52">
      <v>0</v>
    </oc>
    <nc r="W52">
      <v>1040.23</v>
    </nc>
  </rcc>
  <rfmt sheetId="8" sqref="B51:B52" start="0" length="2147483647">
    <dxf>
      <font>
        <color auto="1"/>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3" sId="9" numFmtId="4">
    <oc r="D10">
      <v>520764.9</v>
    </oc>
    <nc r="D10">
      <v>445732.8</v>
    </nc>
  </rcc>
  <rcc rId="404" sId="9" numFmtId="4">
    <oc r="D11">
      <v>278304.74</v>
    </oc>
    <nc r="D11">
      <v>259635.24</v>
    </nc>
  </rcc>
  <rcc rId="405" sId="9" numFmtId="4">
    <oc r="E10">
      <v>305940.14</v>
    </oc>
    <nc r="E10">
      <v>445671.93</v>
    </nc>
  </rcc>
  <rcc rId="406" sId="9" numFmtId="4">
    <oc r="E11">
      <v>127984.02</v>
    </oc>
    <nc r="E11">
      <v>164492.15</v>
    </nc>
  </rcc>
  <rcc rId="407" sId="9" numFmtId="4">
    <oc r="F10">
      <v>305940.14</v>
    </oc>
    <nc r="F10">
      <v>445671.92</v>
    </nc>
  </rcc>
  <rcc rId="408" sId="9" numFmtId="4">
    <oc r="F11">
      <v>127984.02</v>
    </oc>
    <nc r="F11">
      <v>136611.22</v>
    </nc>
  </rcc>
  <rcc rId="409" sId="9" numFmtId="4">
    <oc r="G10">
      <v>305940.14</v>
    </oc>
    <nc r="G10">
      <v>445671.92</v>
    </nc>
  </rcc>
  <rcc rId="410" sId="9" numFmtId="4">
    <oc r="G11">
      <v>127984.02</v>
    </oc>
    <nc r="G11">
      <v>136611.22</v>
    </nc>
  </rcc>
  <rcc rId="411" sId="9" numFmtId="4">
    <oc r="E16">
      <v>18337.990000000002</v>
    </oc>
    <nc r="E16">
      <v>25692.3</v>
    </nc>
  </rcc>
  <rcc rId="412" sId="9" numFmtId="4">
    <oc r="E15">
      <v>305940.14</v>
    </oc>
    <nc r="E15">
      <v>445671.93</v>
    </nc>
  </rcc>
  <rcc rId="413" sId="9" numFmtId="4">
    <oc r="F16">
      <v>18337.990000000002</v>
    </oc>
    <nc r="F16">
      <v>25692.3</v>
    </nc>
  </rcc>
  <rcc rId="414" sId="9" numFmtId="4">
    <oc r="F15">
      <v>305940.14</v>
    </oc>
    <nc r="F15">
      <v>445671.92</v>
    </nc>
  </rcc>
  <rcc rId="415" sId="9" numFmtId="4">
    <oc r="F13">
      <v>324278.13</v>
    </oc>
    <nc r="F13">
      <v>471364.22</v>
    </nc>
  </rcc>
  <rcc rId="416" sId="9" numFmtId="4">
    <oc r="G16">
      <v>18337.900000000001</v>
    </oc>
    <nc r="G16">
      <v>25692.3</v>
    </nc>
  </rcc>
  <rcc rId="417" sId="9" numFmtId="4">
    <oc r="G15">
      <v>305940.14</v>
    </oc>
    <nc r="G15">
      <v>445671.92</v>
    </nc>
  </rcc>
  <rcc rId="418" sId="9" numFmtId="4">
    <oc r="G13">
      <v>324278.13</v>
    </oc>
    <nc r="G13">
      <v>471364.22</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9" numFmtId="4">
    <oc r="AB10">
      <v>0</v>
    </oc>
    <nc r="AB10">
      <v>139731.79</v>
    </nc>
  </rcc>
  <rcc rId="420" sId="9" numFmtId="4">
    <oc r="AB11">
      <v>29121.47</v>
    </oc>
    <nc r="AB11">
      <v>36508.129999999997</v>
    </nc>
  </rcc>
  <rcc rId="421" sId="9" numFmtId="4">
    <oc r="AD11">
      <v>5203.8</v>
    </oc>
    <nc r="AD11">
      <v>91.8</v>
    </nc>
  </rcc>
  <rcc rId="422" sId="9" numFmtId="4">
    <oc r="AD10">
      <v>98872.52</v>
    </oc>
    <nc r="AD10">
      <v>60.87</v>
    </nc>
  </rcc>
  <rcc rId="423" sId="9" numFmtId="4">
    <oc r="AB15">
      <v>0</v>
    </oc>
    <nc r="AB15">
      <v>139731.79</v>
    </nc>
  </rcc>
  <rcc rId="424" sId="9" numFmtId="4">
    <oc r="AB16">
      <v>0</v>
    </oc>
    <nc r="AB16">
      <v>7354.31</v>
    </nc>
  </rcc>
  <rcc rId="425" sId="9" numFmtId="4">
    <oc r="AD15">
      <v>98872.52</v>
    </oc>
    <nc r="AD15">
      <v>60.87</v>
    </nc>
  </rcc>
  <rcc rId="426" sId="9" numFmtId="4">
    <oc r="AD16">
      <v>5203.8</v>
    </oc>
    <nc r="AD16">
      <v>3.2</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7" sId="9" numFmtId="4">
    <oc r="AF16">
      <v>2157.21</v>
    </oc>
    <nc r="AF16">
      <v>3.5</v>
    </nc>
  </rcc>
  <rcc rId="428" sId="9" numFmtId="4">
    <oc r="AF15">
      <v>40920.14</v>
    </oc>
    <nc r="AF15">
      <v>0</v>
    </nc>
  </rcc>
  <rcc rId="429" sId="9" numFmtId="4">
    <oc r="AF11">
      <v>115995.45</v>
    </oc>
    <nc r="AF11">
      <v>113809.39</v>
    </nc>
  </rcc>
  <rcc rId="430" sId="9" numFmtId="4">
    <oc r="AF10">
      <v>115952.24</v>
    </oc>
    <nc r="AF10">
      <v>75032.100000000006</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9" numFmtId="4">
    <oc r="D11">
      <v>259635.24</v>
    </oc>
    <nc r="D11">
      <v>278393.34000000003</v>
    </nc>
  </rcc>
  <rcc rId="432" sId="9" numFmtId="4">
    <oc r="D10">
      <v>445732.8</v>
    </oc>
    <nc r="D10">
      <v>520764.9</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2" numFmtId="4">
    <oc r="AC15">
      <v>0</v>
    </oc>
    <nc r="AC15">
      <v>280.64</v>
    </nc>
  </rcc>
  <rcc rId="434" sId="2">
    <oc r="AC11">
      <f>AC15</f>
    </oc>
    <nc r="AC11">
      <f>AC15</f>
    </nc>
  </rcc>
  <rcc rId="435" sId="2" numFmtId="4">
    <nc r="AC18">
      <v>0.26</v>
    </nc>
  </rcc>
  <rcc rId="436" sId="2" numFmtId="4">
    <nc r="AC19">
      <v>1035.1600000000001</v>
    </nc>
  </rcc>
  <rcc rId="437" sId="2" numFmtId="4">
    <oc r="AB14">
      <v>50410.92</v>
    </oc>
    <nc r="AB14">
      <v>47314.54</v>
    </nc>
  </rcc>
  <rcc rId="438" sId="2" numFmtId="4">
    <oc r="AC14">
      <v>0</v>
    </oc>
    <nc r="AC14">
      <v>36304.97</v>
    </nc>
  </rcc>
  <rcc rId="439" sId="2">
    <oc r="S9">
      <f>S18</f>
    </oc>
    <nc r="S9">
      <f>S18</f>
    </nc>
  </rcc>
  <rcc rId="440" sId="2" numFmtId="4">
    <oc r="S18">
      <v>1331.92</v>
    </oc>
    <nc r="S18">
      <v>1331.51</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3" numFmtId="19">
    <oc r="E6">
      <v>45931</v>
    </oc>
    <nc r="E6">
      <v>45962</v>
    </nc>
  </rcc>
  <rcc rId="442" sId="3" numFmtId="19">
    <oc r="F6">
      <v>45931</v>
    </oc>
    <nc r="F6">
      <v>45962</v>
    </nc>
  </rcc>
  <rcc rId="443" sId="3" numFmtId="19">
    <oc r="G6">
      <v>45931</v>
    </oc>
    <nc r="G6">
      <v>45962</v>
    </nc>
  </rcc>
  <rcc rId="444" sId="3">
    <oc r="F9">
      <f>F14</f>
    </oc>
    <nc r="F9">
      <f>F14</f>
    </nc>
  </rcc>
  <rcc rId="445" sId="3">
    <oc r="F10">
      <f>F15+F26+F18</f>
    </oc>
    <nc r="F10">
      <f>F15+F26+F18</f>
    </nc>
  </rcc>
  <rcc rId="446" sId="3">
    <oc r="E14">
      <f>J14+L14+N14+P14+R14+T14+V14+X14+Z14</f>
    </oc>
    <nc r="E14">
      <f>J14+L14+N14+P14+R14+T14+V14+X14+Z14+AB14</f>
    </nc>
  </rcc>
  <rcc rId="447" sId="3">
    <oc r="E15">
      <f>J15+L15+N15+P15+R15+T15+V15+X15+Z15</f>
    </oc>
    <nc r="E15">
      <f>J15+L15+N15+P15+R15+T15+V15+X15+Z15+AB15</f>
    </nc>
  </rcc>
  <rcc rId="448" sId="3">
    <oc r="E16">
      <f>J16+L16+N16+P16+R16+T16+V16+X16+Z16</f>
    </oc>
    <nc r="E16">
      <f>J16+L16+N16+P16+R16+T16+V16+X16+Z16+AB16</f>
    </nc>
  </rcc>
  <rcc rId="449" sId="3">
    <oc r="E18">
      <f>J18+L18+N18+P18+R18+T18+V18+X18+Z18</f>
    </oc>
    <nc r="E18">
      <f>J18+L18+N18+P18+R18+T18+V18+X18+Z18+AB18</f>
    </nc>
  </rcc>
  <rcc rId="450" sId="3">
    <oc r="E19">
      <f>J19+L19+N19+P19+R19+T19+V19+X19+Z19</f>
    </oc>
    <nc r="E19">
      <f>J19+L19+N19+P19+R19+T19+V19+X19+Z19+AB19</f>
    </nc>
  </rcc>
  <rcc rId="451" sId="3">
    <oc r="E21">
      <f>J21+L21+N21+P21+R21+T21+V21+X21+Z21</f>
    </oc>
    <nc r="E21">
      <f>J21+L21+N21+P21+R21+T21+V21+X21+Z21+AB21</f>
    </nc>
  </rcc>
  <rcc rId="452" sId="3">
    <oc r="E23">
      <f>J23+L23+N23+P23+R23+T23+V23+X23+Z23</f>
    </oc>
    <nc r="E23">
      <f>J23+L23+N23+P23+R23+T23+V23+X23+Z23+AB23</f>
    </nc>
  </rcc>
  <rcc rId="453" sId="3" numFmtId="4">
    <oc r="AC16">
      <v>0</v>
    </oc>
    <nc r="AC16">
      <v>986.4</v>
    </nc>
  </rcc>
  <rcc rId="454" sId="3" numFmtId="4">
    <oc r="AC18">
      <v>0</v>
    </oc>
    <nc r="AC18">
      <v>6107.8</v>
    </nc>
  </rcc>
  <rcc rId="455" sId="3" numFmtId="4">
    <oc r="AC19">
      <v>0</v>
    </oc>
    <nc r="AC19">
      <v>5641.27</v>
    </nc>
  </rcc>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4" sId="3" numFmtId="4">
    <oc r="AB21">
      <v>14644.39</v>
    </oc>
    <nc r="AB21">
      <v>14134.59</v>
    </nc>
  </rcc>
  <rcc rId="465" sId="3" numFmtId="4">
    <oc r="AC21">
      <v>0</v>
    </oc>
    <nc r="AC21">
      <v>10406.99</v>
    </nc>
  </rcc>
  <rfmt sheetId="3" sqref="AH17" start="0" length="0">
    <dxf>
      <font>
        <sz val="9"/>
        <color auto="1"/>
        <name val="Times New Roman"/>
        <scheme val="none"/>
      </font>
      <alignment horizontal="left" readingOrder="0"/>
      <border outline="0">
        <bottom/>
      </border>
    </dxf>
  </rfmt>
  <rfmt sheetId="3" sqref="AH18" start="0" length="0">
    <dxf>
      <font>
        <sz val="9"/>
        <color auto="1"/>
        <name val="Times New Roman"/>
        <scheme val="none"/>
      </font>
      <alignment horizontal="left" readingOrder="0"/>
      <border outline="0">
        <top/>
        <bottom/>
      </border>
    </dxf>
  </rfmt>
  <rfmt sheetId="3" sqref="AH19" start="0" length="0">
    <dxf>
      <font>
        <sz val="9"/>
        <color auto="1"/>
        <name val="Times New Roman"/>
        <scheme val="none"/>
      </font>
      <alignment horizontal="left" readingOrder="0"/>
      <border outline="0">
        <top/>
      </border>
    </dxf>
  </rfmt>
  <rfmt sheetId="3" sqref="AH17" start="0" length="0">
    <dxf>
      <font>
        <sz val="10"/>
        <color auto="1"/>
        <name val="Times New Roman"/>
        <scheme val="none"/>
      </font>
      <alignment horizontal="general" readingOrder="0"/>
      <border outline="0">
        <bottom style="thin">
          <color indexed="64"/>
        </bottom>
      </border>
    </dxf>
  </rfmt>
  <rcc rId="466" sId="3" odxf="1" dxf="1">
    <o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ведется приемка работ.</t>
      </is>
    </oc>
    <n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is>
    </nc>
    <ndxf>
      <font>
        <sz val="10"/>
        <color auto="1"/>
        <name val="Times New Roman"/>
        <scheme val="none"/>
      </font>
      <alignment horizontal="left" readingOrder="0"/>
      <border outline="0">
        <bottom/>
      </border>
    </ndxf>
  </rcc>
  <rfmt sheetId="3" sqref="AH18" start="0" length="0">
    <dxf>
      <font>
        <sz val="9"/>
        <color auto="1"/>
        <name val="Times New Roman"/>
        <scheme val="none"/>
      </font>
    </dxf>
  </rfmt>
  <rfmt sheetId="3" sqref="AH19" start="0" length="0">
    <dxf>
      <font>
        <sz val="9"/>
        <color auto="1"/>
        <name val="Times New Roman"/>
        <scheme val="none"/>
      </font>
    </dxf>
  </rfmt>
  <rfmt sheetId="3" sqref="AH17" start="0" length="2147483647">
    <dxf>
      <font>
        <sz val="10"/>
      </font>
    </dxf>
  </rfmt>
  <rcc rId="467" sId="3" odxf="1" dxf="1">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6.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7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nc>
    <odxf>
      <alignment horizontal="general" readingOrder="0"/>
      <border outline="0">
        <bottom style="thin">
          <color indexed="64"/>
        </bottom>
      </border>
    </odxf>
    <ndxf>
      <alignment horizontal="left" readingOrder="0"/>
      <border outline="0">
        <bottom/>
      </border>
    </ndxf>
  </rcc>
  <rfmt sheetId="3" sqref="AH15" start="0" length="0">
    <dxf>
      <font>
        <b val="0"/>
        <sz val="9"/>
        <color auto="1"/>
        <name val="Times New Roman"/>
        <scheme val="none"/>
      </font>
      <alignment horizontal="left" readingOrder="0"/>
      <border outline="0">
        <top/>
        <bottom/>
      </border>
    </dxf>
  </rfmt>
  <rfmt sheetId="3" sqref="AH16" start="0" length="0">
    <dxf>
      <font>
        <sz val="9"/>
        <color auto="1"/>
        <name val="Times New Roman"/>
        <scheme val="none"/>
      </font>
      <alignment horizontal="left" readingOrder="0"/>
      <border outline="0">
        <top/>
      </border>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86A221_D885_4536_BEAC_E7F4BBC02150_.wvu.Rows" hidden="1" oldHidden="1">
    <formula>'1. РО'!$28:$28,'1. РО'!$32:$32,'1. РО'!$52:$52,'1. РО'!$61:$61,'1. РО'!$73:$73,'1. РО'!$77:$77</formula>
  </rdn>
  <rdn rId="0" localSheetId="4" customView="1" name="Z_B686A221_D885_4536_BEAC_E7F4BBC02150_.wvu.Rows" hidden="1" oldHidden="1">
    <formula>'4. КП'!$23:$23,'4. КП'!$27:$27,'4. КП'!$68:$68,'4. КП'!$75:$75,'4. КП'!$83:$83,'4. КП'!$87:$88,'4. КП'!$91:$91,'4. КП'!$93:$93</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B686A221_D885_4536_BEAC_E7F4BBC02150_.wvu.Rows" hidden="1" oldHidden="1">
    <formula>'6. СЗН'!$9:$9,'6. СЗН'!$14:$14,'6. СЗН'!$18:$18,'6. СЗН'!$22:$22,'6. СЗН'!$26:$26,'6. СЗН'!$30:$31,'6. СЗН'!$34:$34,'6. СЗН'!$36:$36,'6. СЗН'!$39:$39,'6. СЗН'!$43:$43,'6. СЗН'!$45:$45,'6. СЗН'!$47:$48</formula>
  </rdn>
  <rdn rId="0" localSheetId="9" customView="1" name="Z_B686A221_D885_4536_BEAC_E7F4BBC02150_.wvu.Rows" hidden="1" oldHidden="1">
    <formula>'9. РЖКК'!$14:$14,'9. РЖКК'!$28:$28</formula>
  </rdn>
  <rdn rId="0" localSheetId="14" customView="1" name="Z_B686A221_D885_4536_BEAC_E7F4BBC02150_.wvu.Rows" hidden="1" oldHidden="1">
    <formula>'14. РТС'!$14:$15,'14. РТС'!$19:$19,'14. РТС'!$30:$30,'14. РТС'!$33:$33,'14. РТС'!$36:$36,'14. РТС'!$43:$43</formula>
  </rdn>
  <rdn rId="0" localSheetId="17" customView="1" name="Z_B686A221_D885_4536_BEAC_E7F4BBC02150_.wvu.PrintTitles" hidden="1" oldHidden="1">
    <formula>'17. УМИ'!$4:$7</formula>
  </rdn>
  <rdn rId="0" localSheetId="20" customView="1" name="Z_B686A221_D885_4536_BEAC_E7F4BBC02150_.wvu.Rows" hidden="1" oldHidden="1">
    <formula>'20. МСП'!$19:$19</formula>
  </rdn>
  <rcv guid="{B686A221-D885-4536-BEAC-E7F4BBC0215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AG22" start="0" length="2147483647">
    <dxf>
      <font>
        <color rgb="FFFF0000"/>
      </font>
    </dxf>
  </rfmt>
  <rfmt sheetId="11" sqref="J25:AG25" start="0" length="2147483647">
    <dxf>
      <font>
        <color rgb="FFFF0000"/>
      </font>
    </dxf>
  </rfmt>
  <rfmt sheetId="11" sqref="J27:AG27" start="0" length="2147483647">
    <dxf>
      <font>
        <color rgb="FFFF000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P14" start="0" length="2147483647">
    <dxf>
      <font>
        <color auto="1"/>
      </font>
    </dxf>
  </rfmt>
  <rfmt sheetId="11" sqref="R14" start="0" length="2147483647">
    <dxf>
      <font>
        <color auto="1"/>
      </font>
    </dxf>
  </rfmt>
  <rfmt sheetId="11" sqref="T13:T14" start="0" length="2147483647">
    <dxf>
      <font>
        <color auto="1"/>
      </font>
    </dxf>
  </rfmt>
  <rfmt sheetId="11" sqref="V14" start="0" length="2147483647">
    <dxf>
      <font>
        <color auto="1"/>
      </font>
    </dxf>
  </rfmt>
  <rfmt sheetId="11" sqref="X14" start="0" length="2147483647">
    <dxf>
      <font>
        <color auto="1"/>
      </font>
    </dxf>
  </rfmt>
  <rfmt sheetId="11" sqref="Z14" start="0" length="2147483647">
    <dxf>
      <font>
        <color auto="1"/>
      </font>
    </dxf>
  </rfmt>
  <rfmt sheetId="11" sqref="AB14" start="0" length="2147483647">
    <dxf>
      <font>
        <color auto="1"/>
      </font>
    </dxf>
  </rfmt>
  <rfmt sheetId="11" sqref="AD14" start="0" length="2147483647">
    <dxf>
      <font>
        <color auto="1"/>
      </font>
    </dxf>
  </rfmt>
  <rfmt sheetId="11" sqref="AF14" start="0" length="2147483647">
    <dxf>
      <font>
        <color auto="1"/>
      </font>
    </dxf>
  </rfmt>
  <rfmt sheetId="11" sqref="D13:I22" start="0" length="2147483647">
    <dxf>
      <font>
        <color rgb="FFFF0000"/>
      </font>
    </dxf>
  </rfmt>
  <rfmt sheetId="11" sqref="D11:I12" start="0" length="2147483647">
    <dxf>
      <font>
        <color rgb="FFFF0000"/>
      </font>
    </dxf>
  </rfmt>
  <rfmt sheetId="11" sqref="D8:I9" start="0" length="2147483647">
    <dxf>
      <font>
        <color rgb="FFFF0000"/>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O14" start="0" length="2147483647">
    <dxf>
      <font>
        <color auto="1"/>
      </font>
    </dxf>
  </rfmt>
  <rfmt sheetId="11" sqref="O14" start="0" length="2147483647">
    <dxf>
      <font>
        <color rgb="FFFF0000"/>
      </font>
    </dxf>
  </rfmt>
  <rfmt sheetId="11" sqref="M14" start="0" length="2147483647">
    <dxf>
      <font>
        <color rgb="FFFF0000"/>
      </font>
    </dxf>
  </rfmt>
  <rfmt sheetId="11" sqref="K14" start="0" length="2147483647">
    <dxf>
      <font>
        <color rgb="FFFF0000"/>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 start="0" length="2147483647">
    <dxf>
      <font>
        <color auto="1"/>
      </font>
    </dxf>
  </rfmt>
  <rfmt sheetId="11" sqref="L15" start="0" length="2147483647">
    <dxf>
      <font>
        <color auto="1"/>
      </font>
    </dxf>
  </rfmt>
  <rfmt sheetId="11" sqref="J16" start="0" length="2147483647">
    <dxf>
      <font>
        <color auto="1"/>
      </font>
    </dxf>
  </rfmt>
  <rfmt sheetId="11" sqref="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cc rId="484" sId="11" numFmtId="4">
    <oc r="T16">
      <v>128</v>
    </oc>
    <nc r="T16">
      <v>162.15</v>
    </nc>
  </rcc>
  <rfmt sheetId="11" sqref="T15:T16" start="0" length="2147483647">
    <dxf>
      <font>
        <color auto="1"/>
      </font>
    </dxf>
  </rfmt>
  <rcc rId="485" sId="11" numFmtId="4">
    <oc r="V16">
      <v>102.9</v>
    </oc>
    <nc r="V16">
      <v>78.900000000000006</v>
    </nc>
  </rcc>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cc rId="486" sId="11" numFmtId="4">
    <oc r="AF16">
      <v>10.15</v>
    </oc>
    <nc r="AF16">
      <v>0</v>
    </nc>
  </rcc>
  <rfmt sheetId="11" sqref="AF15:AF16" start="0" length="2147483647">
    <dxf>
      <font>
        <color auto="1"/>
      </font>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8" start="0" length="2147483647">
    <dxf>
      <font>
        <color auto="1"/>
      </font>
    </dxf>
  </rfmt>
  <rfmt sheetId="11" sqref="J17" start="0" length="2147483647">
    <dxf>
      <font>
        <color auto="1"/>
      </font>
    </dxf>
  </rfmt>
  <rfmt sheetId="11" sqref="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487" sId="11" numFmtId="4">
    <oc r="AF18">
      <v>2825.5830000000001</v>
    </oc>
    <nc r="AF18">
      <v>2615.5830000000001</v>
    </nc>
  </rcc>
  <rfmt sheetId="11" sqref="AF17:AF18" start="0" length="2147483647">
    <dxf>
      <font>
        <color auto="1"/>
      </font>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8" sId="11" numFmtId="4">
    <oc r="J18">
      <v>232.477</v>
    </oc>
    <nc r="J18">
      <v>232.476</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9:J20" start="0" length="2147483647">
    <dxf>
      <font>
        <color auto="1"/>
      </font>
    </dxf>
  </rfmt>
  <rfmt sheetId="11" sqref="L19:L20" start="0" length="2147483647">
    <dxf>
      <font>
        <color auto="1"/>
      </font>
    </dxf>
  </rfmt>
  <rfmt sheetId="11" sqref="N19:N20" start="0" length="2147483647">
    <dxf>
      <font>
        <color auto="1"/>
      </font>
    </dxf>
  </rfmt>
  <rfmt sheetId="11" sqref="P19:P20" start="0" length="2147483647">
    <dxf>
      <font>
        <color auto="1"/>
      </font>
    </dxf>
  </rfmt>
  <rfmt sheetId="11" sqref="R19:R20" start="0" length="2147483647">
    <dxf>
      <font>
        <color auto="1"/>
      </font>
    </dxf>
  </rfmt>
  <rfmt sheetId="11" sqref="T19:T20" start="0" length="2147483647">
    <dxf>
      <font>
        <color auto="1"/>
      </font>
    </dxf>
  </rfmt>
  <rfmt sheetId="11" sqref="V19:V20" start="0" length="2147483647">
    <dxf>
      <font>
        <color auto="1"/>
      </font>
    </dxf>
  </rfmt>
  <rfmt sheetId="11" sqref="X19:X20" start="0" length="2147483647">
    <dxf>
      <font>
        <color auto="1"/>
      </font>
    </dxf>
  </rfmt>
  <rfmt sheetId="11" sqref="Z19:Z20" start="0" length="2147483647">
    <dxf>
      <font>
        <color auto="1"/>
      </font>
    </dxf>
  </rfmt>
  <rfmt sheetId="11" sqref="AB19:AB20" start="0" length="2147483647">
    <dxf>
      <font>
        <color auto="1"/>
      </font>
    </dxf>
  </rfmt>
  <rcc rId="489" sId="11" numFmtId="4">
    <oc r="AB20">
      <v>0</v>
    </oc>
    <nc r="AB20">
      <v>75.180000000000007</v>
    </nc>
  </rcc>
  <rcc rId="490" sId="11" numFmtId="4">
    <oc r="AD20">
      <v>100</v>
    </oc>
    <nc r="AD20">
      <v>24.82</v>
    </nc>
  </rcc>
  <rfmt sheetId="11" sqref="AD19:AD20" start="0" length="2147483647">
    <dxf>
      <font>
        <color auto="1"/>
      </font>
    </dxf>
  </rfmt>
  <rfmt sheetId="11" sqref="AF19:AF20" start="0" length="2147483647">
    <dxf>
      <font>
        <color auto="1"/>
      </font>
    </dxf>
  </rfmt>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1:J22" start="0" length="2147483647">
    <dxf>
      <font>
        <color auto="1"/>
      </font>
    </dxf>
  </rfmt>
  <rfmt sheetId="11" sqref="L21:L22" start="0" length="2147483647">
    <dxf>
      <font>
        <color auto="1"/>
      </font>
    </dxf>
  </rfmt>
  <rfmt sheetId="11" sqref="N21:N22" start="0" length="2147483647">
    <dxf>
      <font>
        <color auto="1"/>
      </font>
    </dxf>
  </rfmt>
  <rfmt sheetId="11" sqref="P21:P22" start="0" length="2147483647">
    <dxf>
      <font>
        <color auto="1"/>
      </font>
    </dxf>
  </rfmt>
  <rfmt sheetId="11" sqref="R21:R22" start="0" length="2147483647">
    <dxf>
      <font>
        <color auto="1"/>
      </font>
    </dxf>
  </rfmt>
  <rcc rId="491" sId="11" numFmtId="4">
    <oc r="T22">
      <v>10.08</v>
    </oc>
    <nc r="T22">
      <v>10.56</v>
    </nc>
  </rcc>
  <rfmt sheetId="11" sqref="T21:T22" start="0" length="2147483647">
    <dxf>
      <font>
        <color auto="1"/>
      </font>
    </dxf>
  </rfmt>
  <rcc rId="492" sId="11" numFmtId="4">
    <oc r="V22">
      <v>48.08</v>
    </oc>
    <nc r="V22">
      <v>48.56</v>
    </nc>
  </rcc>
  <rfmt sheetId="11" sqref="V21:V22" start="0" length="2147483647">
    <dxf>
      <font>
        <color auto="1"/>
      </font>
    </dxf>
  </rfmt>
  <rcc rId="493" sId="11" numFmtId="4">
    <oc r="X22">
      <v>26.62</v>
    </oc>
    <nc r="X22">
      <v>31.46</v>
    </nc>
  </rcc>
  <rfmt sheetId="11" sqref="X21:X22" start="0" length="2147483647">
    <dxf>
      <font>
        <color auto="1"/>
      </font>
    </dxf>
  </rfmt>
  <rcc rId="494" sId="11" numFmtId="4">
    <oc r="Z22">
      <v>36.700000000000003</v>
    </oc>
    <nc r="Z22">
      <v>31.46</v>
    </nc>
  </rcc>
  <rfmt sheetId="11" sqref="Z21:Z22" start="0" length="2147483647">
    <dxf>
      <font>
        <color auto="1"/>
      </font>
    </dxf>
  </rfmt>
  <rcc rId="495" sId="11" numFmtId="4">
    <oc r="AB22">
      <v>36.700000000000003</v>
    </oc>
    <nc r="AB22">
      <v>36.14</v>
    </nc>
  </rcc>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5" start="0" length="2147483647">
    <dxf>
      <font>
        <color auto="1"/>
      </font>
    </dxf>
  </rfmt>
  <rfmt sheetId="11" sqref="L25" start="0" length="2147483647">
    <dxf>
      <font>
        <color auto="1"/>
      </font>
    </dxf>
  </rfmt>
  <rcc rId="496" sId="11" numFmtId="4">
    <oc r="N25">
      <v>606.82600000000002</v>
    </oc>
    <nc r="N25">
      <v>664.92600000000004</v>
    </nc>
  </rcc>
  <rfmt sheetId="11" sqref="N25" start="0" length="2147483647">
    <dxf>
      <font>
        <color auto="1"/>
      </font>
    </dxf>
  </rfmt>
  <rcc rId="497" sId="11" numFmtId="4">
    <oc r="P25">
      <v>884.33</v>
    </oc>
    <nc r="P25">
      <v>792.03</v>
    </nc>
  </rcc>
  <rfmt sheetId="11" sqref="P25" start="0" length="2147483647">
    <dxf>
      <font>
        <color auto="1"/>
      </font>
    </dxf>
  </rfmt>
  <rfmt sheetId="11" sqref="R25" start="0" length="2147483647">
    <dxf>
      <font>
        <color auto="1"/>
      </font>
    </dxf>
  </rfmt>
  <rcc rId="498" sId="11" numFmtId="4">
    <oc r="T25">
      <v>606.82600000000002</v>
    </oc>
    <nc r="T25">
      <v>775.86699999999996</v>
    </nc>
  </rcc>
  <rfmt sheetId="11" sqref="T25" start="0" length="2147483647">
    <dxf>
      <font>
        <color auto="1"/>
      </font>
    </dxf>
  </rfmt>
  <rfmt sheetId="11" sqref="V25" start="0" length="2147483647">
    <dxf>
      <font>
        <color auto="1"/>
      </font>
    </dxf>
  </rfmt>
  <rfmt sheetId="11" sqref="X25" start="0" length="2147483647">
    <dxf>
      <font>
        <color auto="1"/>
      </font>
    </dxf>
  </rfmt>
  <rcc rId="499" sId="11" numFmtId="4">
    <oc r="Z25">
      <v>606.82600000000002</v>
    </oc>
    <nc r="Z25">
      <v>531.82600000000002</v>
    </nc>
  </rcc>
  <rfmt sheetId="11" sqref="Z25" start="0" length="2147483647">
    <dxf>
      <font>
        <color auto="1"/>
      </font>
    </dxf>
  </rfmt>
  <rfmt sheetId="11" sqref="AB25" start="0" length="2147483647">
    <dxf>
      <font>
        <color auto="1"/>
      </font>
    </dxf>
  </rfmt>
  <rfmt sheetId="11" sqref="AD25" start="0" length="2147483647">
    <dxf>
      <font>
        <color auto="1"/>
      </font>
    </dxf>
  </rfmt>
  <rcc rId="500" sId="11" numFmtId="4">
    <oc r="AF25">
      <v>756.86500000000001</v>
    </oc>
    <nc r="AF25">
      <v>357.72399999999999</v>
    </nc>
  </rcc>
  <rfmt sheetId="11" sqref="AF25" start="0" length="2147483647">
    <dxf>
      <font>
        <color auto="1"/>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D25" start="0" length="2147483647">
    <dxf>
      <font>
        <color rgb="FF00B0F0"/>
      </font>
    </dxf>
  </rfmt>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7" start="0" length="2147483647">
    <dxf>
      <font>
        <color auto="1"/>
      </font>
    </dxf>
  </rfmt>
  <rcc rId="501" sId="11" numFmtId="4">
    <oc r="L27">
      <v>3173.777</v>
    </oc>
    <nc r="L27">
      <v>3185.777</v>
    </nc>
  </rcc>
  <rfmt sheetId="11" sqref="L27" start="0" length="2147483647">
    <dxf>
      <font>
        <color auto="1"/>
      </font>
    </dxf>
  </rfmt>
  <rcc rId="502" sId="11" numFmtId="4">
    <oc r="N27">
      <v>3311.1770000000001</v>
    </oc>
    <nc r="N27">
      <v>3311.9769999999999</v>
    </nc>
  </rcc>
  <rfmt sheetId="11" sqref="N27" start="0" length="2147483647">
    <dxf>
      <font>
        <color auto="1"/>
      </font>
    </dxf>
  </rfmt>
  <rcc rId="503" sId="11" numFmtId="4">
    <oc r="P27">
      <v>3783.3470000000002</v>
    </oc>
    <nc r="P27">
      <v>3771.3470000000002</v>
    </nc>
  </rcc>
  <rfmt sheetId="11" sqref="P27" start="0" length="2147483647">
    <dxf>
      <font>
        <color auto="1"/>
      </font>
    </dxf>
  </rfmt>
  <rfmt sheetId="11" sqref="R27" start="0" length="2147483647">
    <dxf>
      <font>
        <color auto="1"/>
      </font>
    </dxf>
  </rfmt>
  <rfmt sheetId="11" sqref="T27" start="0" length="2147483647">
    <dxf>
      <font>
        <color auto="1"/>
      </font>
    </dxf>
  </rfmt>
  <rfmt sheetId="11" sqref="V27" start="0" length="2147483647">
    <dxf>
      <font>
        <color auto="1"/>
      </font>
    </dxf>
  </rfmt>
  <rfmt sheetId="11" sqref="X27" start="0" length="2147483647">
    <dxf>
      <font>
        <color auto="1"/>
      </font>
    </dxf>
  </rfmt>
  <rfmt sheetId="11" sqref="Z27" start="0" length="2147483647">
    <dxf>
      <font>
        <color auto="1"/>
      </font>
    </dxf>
  </rfmt>
  <rfmt sheetId="11" sqref="AB27" start="0" length="2147483647">
    <dxf>
      <font>
        <color auto="1"/>
      </font>
    </dxf>
  </rfmt>
  <rfmt sheetId="11" sqref="AD27" start="0" length="2147483647">
    <dxf>
      <font>
        <color auto="1"/>
      </font>
    </dxf>
  </rfmt>
  <rcc rId="504" sId="11" numFmtId="4">
    <oc r="AF27">
      <v>3433.9169999999999</v>
    </oc>
    <nc r="AF27">
      <v>3433.1170000000002</v>
    </nc>
  </rcc>
  <rfmt sheetId="11" sqref="AF27" start="0" length="2147483647">
    <dxf>
      <font>
        <color auto="1"/>
      </font>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5" sId="10" numFmtId="4">
    <oc r="AC14">
      <v>0</v>
    </oc>
    <nc r="AC14">
      <v>36.85</v>
    </nc>
  </rcc>
  <rcc rId="506" sId="10" numFmtId="4">
    <oc r="AC15">
      <v>0</v>
    </oc>
    <nc r="AC15">
      <v>91.31</v>
    </nc>
  </rcc>
  <rfmt sheetId="10" sqref="AC1:AC1048576">
    <dxf>
      <fill>
        <patternFill>
          <bgColor theme="4" tint="0.79998168889431442"/>
        </patternFill>
      </fill>
    </dxf>
  </rfmt>
  <rcc rId="507" sId="10" numFmtId="4">
    <oc r="AC20">
      <v>0</v>
    </oc>
    <nc r="AC20">
      <v>6.8630000000000004</v>
    </nc>
  </rcc>
  <rcc rId="508" sId="10" numFmtId="4">
    <oc r="AC19">
      <v>0</v>
    </oc>
    <nc r="AC19">
      <v>200.953</v>
    </nc>
  </rcc>
  <rcc rId="509" sId="10" numFmtId="4">
    <oc r="AC35">
      <v>0</v>
    </oc>
    <nc r="AC35">
      <v>1067.884</v>
    </nc>
  </rcc>
  <rcc rId="510" sId="10" numFmtId="4">
    <oc r="AC38">
      <v>0</v>
    </oc>
    <nc r="AC38">
      <v>596.74900000000002</v>
    </nc>
  </rcc>
  <rcc rId="511" sId="10" numFmtId="4">
    <oc r="AC22">
      <v>0</v>
    </oc>
    <nc r="AC22">
      <v>2.79</v>
    </nc>
  </rcc>
  <rcc rId="512" sId="10" numFmtId="4">
    <oc r="AC24">
      <v>0</v>
    </oc>
    <nc r="AC24">
      <v>4.1760000000000002</v>
    </nc>
  </rcc>
  <rcc rId="513" sId="10" numFmtId="4">
    <oc r="AC31">
      <v>0</v>
    </oc>
    <nc r="AC31">
      <v>5.76</v>
    </nc>
  </rcc>
  <rcc rId="514" sId="10" numFmtId="4">
    <oc r="AC33">
      <v>0</v>
    </oc>
    <nc r="AC33">
      <v>89.507999999999996</v>
    </nc>
  </rcc>
  <rcc rId="515" sId="10" numFmtId="4">
    <oc r="AC17">
      <v>0</v>
    </oc>
    <nc r="AC17">
      <v>708.67499999999995</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8" numFmtId="19">
    <oc r="E6">
      <v>45870</v>
    </oc>
    <nc r="E6">
      <v>45901</v>
    </nc>
  </rcc>
  <rcc rId="24" sId="8" numFmtId="19">
    <oc r="F6">
      <v>45870</v>
    </oc>
    <nc r="F6">
      <v>45901</v>
    </nc>
  </rcc>
  <rcc rId="25" sId="8" numFmtId="19">
    <oc r="G6">
      <v>45870</v>
    </oc>
    <nc r="G6">
      <v>45901</v>
    </nc>
  </rcc>
  <rcc rId="26" sId="8">
    <oc r="E9">
      <f>J9+L9+N9+P9+R9+T9+V9</f>
    </oc>
    <nc r="E9">
      <f>J9+L9+N9+P9+R9+T9+V9+X9</f>
    </nc>
  </rcc>
  <rcc rId="27" sId="8">
    <oc r="E10">
      <f>J10+L10+N10+P10+R10+T10+V10</f>
    </oc>
    <nc r="E10">
      <f>J10+L10+N10+P10+R10+T10+V10+X10</f>
    </nc>
  </rcc>
  <rcc rId="28" sId="8">
    <oc r="E11">
      <f>J11+L11+N11+P11+R11+T11+V11</f>
    </oc>
    <nc r="E11">
      <f>J11+L11+N11+P11+R11+T11+V11+X11</f>
    </nc>
  </rcc>
  <rcc rId="29" sId="8">
    <oc r="E14">
      <f>J14+L14+N14+P14+R14+T14+V14</f>
    </oc>
    <nc r="E14">
      <f>J14+L14+N14+P14+R14+T14+V14+X14</f>
    </nc>
  </rcc>
  <rcc rId="30" sId="8">
    <oc r="E15">
      <f>J15+L15+N15+P15+R15+T15+V15</f>
    </oc>
    <nc r="E15">
      <f>J15+L15+N15+P15+R15+T15+V15+X15</f>
    </nc>
  </rcc>
  <rcc rId="31" sId="8">
    <oc r="E16">
      <f>J16+L16+N16+P16+R16+T16+V16</f>
    </oc>
    <nc r="E16">
      <f>J16+L16+N16+P16+R16+T16+V16+X16</f>
    </nc>
  </rcc>
  <rcc rId="32" sId="8">
    <oc r="E19">
      <f>J19+L19+N19+P19+R19+T19+V19</f>
    </oc>
    <nc r="E19">
      <f>J19+L19+N19+P19+R19+T19+V19+X19</f>
    </nc>
  </rcc>
  <rcc rId="33" sId="8">
    <oc r="E20">
      <f>J20+L20+N20+P20+R20+T20+V20</f>
    </oc>
    <nc r="E20">
      <f>J20+L20+N20+P20+R20+T20+V20+X20</f>
    </nc>
  </rcc>
  <rcc rId="34" sId="8">
    <oc r="E22">
      <f>J22+L22+N22+P22+R22+T22+V22</f>
    </oc>
    <nc r="E22">
      <f>J22+L22+N22+P22+R22+T22+V22+X22</f>
    </nc>
  </rcc>
  <rcc rId="35" sId="8">
    <oc r="E23">
      <f>J23+L23+N23+P23+R23+T23+V23</f>
    </oc>
    <nc r="E23">
      <f>J23+L23+N23+P23+R23+T23+V23+X23</f>
    </nc>
  </rcc>
  <rcc rId="36" sId="8">
    <oc r="E25">
      <f>J25+L25+N25+P25+R25+T25+V25</f>
    </oc>
    <nc r="E25">
      <f>J25+L25+N25+P25+R25+T25+V25+X25</f>
    </nc>
  </rcc>
  <rcc rId="37" sId="8">
    <oc r="E26">
      <f>J26+L26+N26+P26+R26+T26+V26</f>
    </oc>
    <nc r="E26">
      <f>J26+L26+N26+P26+R26+T26+V26+X26</f>
    </nc>
  </rcc>
  <rcc rId="38" sId="8">
    <oc r="E28">
      <f>J28+L28+N28+P28+R28+T28+V28</f>
    </oc>
    <nc r="E28">
      <f>J28+L28+N28+P28+R28+T28+V28+X28</f>
    </nc>
  </rcc>
  <rcc rId="39" sId="8">
    <oc r="E29">
      <f>J29+L29+N29+P29+R29+T29+V29</f>
    </oc>
    <nc r="E29">
      <f>J29+L29+N29+P29+R29+T29+V29+X29</f>
    </nc>
  </rcc>
  <rcc rId="40" sId="8">
    <oc r="E31">
      <f>J31+L31+N31+P31+R31+T31+V31</f>
    </oc>
    <nc r="E31">
      <f>J31+L31+N31+P31+R31+T31+V31+X31</f>
    </nc>
  </rcc>
  <rcc rId="41" sId="8">
    <oc r="E32">
      <f>J32+L32+N32+P32+R32+T32+V32</f>
    </oc>
    <nc r="E32">
      <f>J32+L32+N32+P32+R32+T32+V32+X32</f>
    </nc>
  </rcc>
  <rcc rId="42" sId="8">
    <oc r="E35">
      <f>J35+L35+N35+P35+R35+T35+V35</f>
    </oc>
    <nc r="E35">
      <f>J35+L35+N35+P35+R35+T35+V35+X35</f>
    </nc>
  </rcc>
  <rcc rId="43" sId="8">
    <oc r="E36">
      <f>J36+L36+N36+P36+R36+T36+V36</f>
    </oc>
    <nc r="E36">
      <f>J36+L36+N36+P36+R36+T36+V36+X36</f>
    </nc>
  </rcc>
  <rcc rId="44" sId="8">
    <oc r="E37">
      <f>J37+L37+N37+P37+R37+T37+V37</f>
    </oc>
    <nc r="E37">
      <f>J37+L37+N37+P37+R37+T37+V37+X37</f>
    </nc>
  </rcc>
  <rcc rId="45" sId="8">
    <oc r="E39">
      <f>J39+L39+N39+P39+R39+T39+V39</f>
    </oc>
    <nc r="E39">
      <f>J39+L39+N39+P39+R39+T39+V39+X39</f>
    </nc>
  </rcc>
  <rcc rId="46" sId="8">
    <oc r="E41">
      <f>J41+L41+N41+P41+R41+T41+V41</f>
    </oc>
    <nc r="E41">
      <f>J41+L41+N41+P41+R41+T41+V41+X41</f>
    </nc>
  </rcc>
  <rcc rId="47" sId="8">
    <oc r="E43">
      <f>J43+L43+N43+P43+R43+T43+V43</f>
    </oc>
    <nc r="E43">
      <f>J43+L43+N43+P43+R43+T43+V43+X43</f>
    </nc>
  </rcc>
  <rcc rId="48" sId="8">
    <oc r="E44">
      <f>J44+L44+N44+P44+R44+T44+V44</f>
    </oc>
    <nc r="E44">
      <f>J44+L44+N44+P44+R44+T44+V44+X44</f>
    </nc>
  </rcc>
  <rcc rId="49" sId="8">
    <oc r="E46">
      <f>J46+L46+N46+P46+R46+T46+V46</f>
    </oc>
    <nc r="E46">
      <f>J46+L46+N46+P46+R46+T46+V46+X46</f>
    </nc>
  </rcc>
  <rcc rId="50" sId="8">
    <oc r="E47">
      <f>J47+L47+N47+P47+R47+T47+V47</f>
    </oc>
    <nc r="E47">
      <f>J47+L47+N47+P47+R47+T47+V47+X47</f>
    </nc>
  </rcc>
  <rcc rId="51" sId="8">
    <oc r="E50">
      <f>J50+L50+N50+P50+R50+T50+V50</f>
    </oc>
    <nc r="E50">
      <f>J50+L50+N50+P50+R50+T50+V50+X50</f>
    </nc>
  </rcc>
  <rcc rId="52" sId="8">
    <oc r="E52">
      <f>J52+L52+N52+P52+R52+T52+V52</f>
    </oc>
    <nc r="E52">
      <f>J52+L52+N52+P52+R52+T52+V52+X52</f>
    </nc>
  </rcc>
  <rcc rId="53" sId="8">
    <oc r="E54">
      <f>J54+L54+N54+P54+R54+T54+V54</f>
    </oc>
    <nc r="E54">
      <f>J54+L54+N54+P54+R54+T54+V54+X54</f>
    </nc>
  </rcc>
  <rcc rId="54" sId="8">
    <oc r="E56">
      <f>J56+L56+N56+P56+R56+T56+V56</f>
    </oc>
    <nc r="E56">
      <f>J56+L56+N56+P56+R56+T56+V56+X56</f>
    </nc>
  </rcc>
  <rcc rId="55" sId="8">
    <oc r="E58">
      <f>J58+L58+N58+P58+R58+T58+V58</f>
    </oc>
    <nc r="E58">
      <f>J58+L58+N58+P58+R58+T58+V58+X58</f>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6" sId="10">
    <oc r="AH16" t="inlineStr">
      <is>
        <t>Отклонение сложилось  в результате оплаты электрической энергии согласно показанию счетчиков по факту.</t>
      </is>
    </oc>
    <nc r="AH16" t="inlineStr">
      <is>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is>
    </nc>
  </rcc>
  <rcc rId="517" sId="10">
    <oc r="AH13" t="inlineStr">
      <is>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oc>
    <nc r="AH13" t="inlineStr">
      <is>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nc>
  </rcc>
  <rcc rId="518" sId="10" numFmtId="19">
    <oc r="F6">
      <v>45931</v>
    </oc>
    <nc r="F6">
      <v>45962</v>
    </nc>
  </rcc>
  <rcc rId="519" sId="10" numFmtId="19">
    <oc r="E6">
      <v>45931</v>
    </oc>
    <nc r="E6">
      <v>45962</v>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8" sId="10">
    <oc r="AH37" t="inlineStr">
      <is>
        <t>Неисполнение по начислениям по оплате труда (оплата досрочно страховых взносов с зарплаты за декабрь 2024г).</t>
      </is>
    </oc>
    <nc r="AH37" t="inlineStr">
      <is>
        <t>Неисполнение по начислениям по оплате труда (оплата досрочно страховых взносов с зарплаты за  2025г).</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7" sId="10">
    <n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nc>
  </rcc>
  <rcc rId="538"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nc>
  </rcc>
  <rcc rId="539" sId="10">
    <nc r="AH28" t="inlineStr">
      <is>
        <t xml:space="preserve"> Обучение. по прогр"Совр. техн.профилактики зависимого повед.подрост.и молод.":                    СОШ №1-21,48; СОШ №3-21,48, СОШ №5-21,48, СОШ №6-21,48, СОШ №7-21,48, СОШ №8-21,48, СОШ №10-21,48;   </t>
      </is>
    </nc>
  </rcc>
  <rcc rId="540" sId="10">
    <nc r="AH32" t="inlineStr">
      <is>
        <t>Школа безопасности СОШ №7-170,0</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1" sId="10">
    <nc r="AH30" t="inlineStr">
      <is>
        <t>Произведена трансляция видеороликов напарвленных на профилатику наркомании</t>
      </is>
    </nc>
  </rcc>
  <rcc rId="542" sId="10">
    <nc r="AH23" t="inlineStr">
      <is>
        <t>Произведена трансляция видеороликов напарвленных на профилатику мошенничества.</t>
      </is>
    </nc>
  </rcc>
  <rcc rId="543" sId="10">
    <o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oc>
    <nc r="AH24" t="inlineStr">
      <is>
        <t xml:space="preserve">                                                                                                     </t>
      </is>
    </nc>
  </rcc>
  <rcc rId="544" sId="10" numFmtId="4">
    <oc r="AC24">
      <v>4.1760000000000002</v>
    </oc>
    <nc r="AC24">
      <v>14.176</v>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5" sId="11" numFmtId="4">
    <oc r="AD25">
      <v>648.72900000000004</v>
    </oc>
    <nc r="AD25">
      <v>707.31899999999996</v>
    </nc>
  </rcc>
  <rfmt sheetId="11" sqref="AD25" start="0" length="2147483647">
    <dxf>
      <font>
        <color auto="1"/>
      </font>
    </dxf>
  </rfmt>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6" sId="11" numFmtId="4">
    <oc r="AC20">
      <v>0</v>
    </oc>
    <nc r="AC20">
      <v>75.180000000000007</v>
    </nc>
  </rcc>
  <rfmt sheetId="11" sqref="AC19:AC20" start="0" length="2147483647">
    <dxf>
      <font>
        <color auto="1"/>
      </font>
    </dxf>
  </rfmt>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4" start="0" length="2147483647">
    <dxf>
      <font>
        <color auto="1"/>
      </font>
    </dxf>
  </rfmt>
  <rfmt sheetId="11" sqref="U14" start="0" length="2147483647">
    <dxf>
      <font>
        <color auto="1"/>
      </font>
    </dxf>
  </rfmt>
  <rcc rId="547" sId="11" numFmtId="4">
    <oc r="W14">
      <v>0</v>
    </oc>
    <nc r="W14">
      <v>201.18799999999999</v>
    </nc>
  </rcc>
  <rfmt sheetId="11" sqref="W14" start="0" length="2147483647">
    <dxf>
      <font>
        <color auto="1"/>
      </font>
    </dxf>
  </rfmt>
  <rcc rId="548" sId="11" numFmtId="4">
    <oc r="Y14">
      <v>0</v>
    </oc>
    <nc r="Y14">
      <v>208.59800000000001</v>
    </nc>
  </rcc>
  <rfmt sheetId="11" sqref="Y14" start="0" length="2147483647">
    <dxf>
      <font>
        <color auto="1"/>
      </font>
    </dxf>
  </rfmt>
  <rcc rId="549" sId="11" numFmtId="4">
    <oc r="AA14">
      <v>0</v>
    </oc>
    <nc r="AA14">
      <v>321.24700000000001</v>
    </nc>
  </rcc>
  <rfmt sheetId="11" sqref="AA14" start="0" length="2147483647">
    <dxf>
      <font>
        <color auto="1"/>
      </font>
    </dxf>
  </rfmt>
  <rcc rId="550" sId="11" numFmtId="4">
    <oc r="AC14">
      <v>0</v>
    </oc>
    <nc r="AC14">
      <v>1.76</v>
    </nc>
  </rcc>
  <rfmt sheetId="11" sqref="AC14" start="0" length="2147483647">
    <dxf>
      <font>
        <color auto="1"/>
      </font>
    </dxf>
  </rfmt>
  <rfmt sheetId="11" sqref="W14" start="0" length="2147483647">
    <dxf>
      <font>
        <color rgb="FF00B0F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4" start="0" length="2147483647">
    <dxf>
      <font>
        <color auto="1"/>
      </font>
    </dxf>
  </rfmt>
  <rfmt sheetId="11" sqref="M14:Q14" start="0" length="2147483647">
    <dxf>
      <font>
        <color auto="1"/>
      </font>
    </dxf>
  </rfmt>
  <rfmt sheetId="11" sqref="AE14:AG14" start="0" length="2147483647">
    <dxf>
      <font>
        <color auto="1"/>
      </font>
    </dxf>
  </rfmt>
  <rfmt sheetId="11" sqref="J20:V20" start="0" length="2147483647">
    <dxf>
      <font>
        <color auto="1"/>
      </font>
    </dxf>
  </rfmt>
  <rfmt sheetId="11" sqref="W20:AG20" start="0" length="2147483647">
    <dxf>
      <font>
        <color auto="1"/>
      </font>
    </dxf>
  </rfmt>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9" sId="11" numFmtId="4">
    <oc r="U16">
      <v>96.43</v>
    </oc>
    <nc r="U16">
      <v>72.5</v>
    </nc>
  </rcc>
  <rfmt sheetId="11" sqref="U15:U16" start="0" length="2147483647">
    <dxf>
      <font>
        <color auto="1"/>
      </font>
    </dxf>
  </rfmt>
  <rcc rId="560" sId="11" numFmtId="4">
    <oc r="Y16">
      <v>0</v>
    </oc>
    <nc r="Y16">
      <v>361.666</v>
    </nc>
  </rcc>
  <rfmt sheetId="11" sqref="Y15:Y16" start="0" length="2147483647">
    <dxf>
      <font>
        <color auto="1"/>
      </font>
    </dxf>
  </rfmt>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W15:AG16"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8">
    <oc r="J10">
      <f>J15+J19+J36</f>
    </oc>
    <nc r="J10">
      <f>J15+J19+J36</f>
    </nc>
  </rcc>
  <rcc rId="57" sId="8">
    <oc r="J9">
      <f>J14+J35</f>
    </oc>
    <nc r="J9">
      <f>J14+J35</f>
    </nc>
  </rcc>
  <rfmt sheetId="8" sqref="B1:B1048576" start="0" length="2147483647">
    <dxf>
      <font>
        <color rgb="FFFF0000"/>
      </font>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T16" start="0" length="2147483647">
    <dxf>
      <font>
        <color auto="1"/>
      </font>
    </dxf>
  </rfmt>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1" sId="11" numFmtId="4">
    <oc r="U16">
      <v>72.5</v>
    </oc>
    <nc r="U16">
      <v>96.430999999999997</v>
    </nc>
  </rcc>
  <rcc rId="562" sId="11" numFmtId="4">
    <oc r="W16">
      <v>0</v>
    </oc>
    <nc r="W16">
      <v>51.311999999999998</v>
    </nc>
  </rcc>
  <rcc rId="563" sId="11" numFmtId="4">
    <oc r="Y16">
      <v>361.666</v>
    </oc>
    <nc r="Y16">
      <v>362.19400000000002</v>
    </nc>
  </rcc>
  <rcc rId="564" sId="11" numFmtId="4">
    <oc r="AA16">
      <v>0</v>
    </oc>
    <nc r="AA16">
      <v>0.54400000000000004</v>
    </nc>
  </rcc>
  <rcc rId="565" sId="11" numFmtId="4">
    <oc r="AC16">
      <v>0</v>
    </oc>
    <nc r="AC16">
      <v>0.53100000000000003</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1:S22" start="0" length="2147483647">
    <dxf>
      <font>
        <color auto="1"/>
      </font>
    </dxf>
  </rfmt>
  <rfmt sheetId="11" sqref="U21:U22" start="0" length="2147483647">
    <dxf>
      <font>
        <color auto="1"/>
      </font>
    </dxf>
  </rfmt>
  <rcc rId="566" sId="11" numFmtId="4">
    <oc r="W22">
      <v>0</v>
    </oc>
    <nc r="W22">
      <v>41.317</v>
    </nc>
  </rcc>
  <rfmt sheetId="11" sqref="W21:W22" start="0" length="2147483647">
    <dxf>
      <font>
        <color auto="1"/>
      </font>
    </dxf>
  </rfmt>
  <rcc rId="567" sId="11" numFmtId="4">
    <oc r="Y22">
      <v>0</v>
    </oc>
    <nc r="Y22">
      <v>31.46</v>
    </nc>
  </rcc>
  <rfmt sheetId="11" sqref="Y21:Y22" start="0" length="2147483647">
    <dxf>
      <font>
        <color auto="1"/>
      </font>
    </dxf>
  </rfmt>
  <rcc rId="568" sId="11" numFmtId="4">
    <oc r="AA22">
      <v>0</v>
    </oc>
    <nc r="AA22">
      <v>31.46</v>
    </nc>
  </rcc>
  <rfmt sheetId="11" sqref="AA21:AA22" start="0" length="2147483647">
    <dxf>
      <font>
        <color auto="1"/>
      </font>
    </dxf>
  </rfmt>
  <rcc rId="569" sId="11" numFmtId="4">
    <oc r="AC22">
      <v>0</v>
    </oc>
    <nc r="AC22">
      <v>31.46</v>
    </nc>
  </rcc>
  <rfmt sheetId="11" sqref="AC21:AC22" start="0" length="2147483647">
    <dxf>
      <font>
        <color auto="1"/>
      </font>
    </dxf>
  </rfmt>
  <rfmt sheetId="11" sqref="AE21:AG22" start="0" length="2147483647">
    <dxf>
      <font>
        <color auto="1"/>
      </font>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5" start="0" length="2147483647">
    <dxf>
      <font>
        <color auto="1"/>
      </font>
    </dxf>
  </rfmt>
  <rcc rId="570" sId="11" numFmtId="4">
    <oc r="K25">
      <v>1138.2</v>
    </oc>
    <nc r="K25">
      <v>717.13400000000001</v>
    </nc>
  </rcc>
  <rcc rId="571" sId="11" numFmtId="4">
    <oc r="M25">
      <v>750</v>
    </oc>
    <nc r="M25">
      <v>1036.6859999999999</v>
    </nc>
  </rcc>
  <rfmt sheetId="11" sqref="M25" start="0" length="2147483647">
    <dxf>
      <font>
        <color auto="1"/>
      </font>
    </dxf>
  </rfmt>
  <rcc rId="572" sId="11" numFmtId="4">
    <oc r="O25">
      <v>603</v>
    </oc>
    <nc r="O25">
      <v>820.24300000000005</v>
    </nc>
  </rcc>
  <rfmt sheetId="11" sqref="O25" start="0" length="2147483647">
    <dxf>
      <font>
        <color auto="1"/>
      </font>
    </dxf>
  </rfmt>
  <rcc rId="573" sId="11" numFmtId="4">
    <oc r="Q25">
      <v>812.59</v>
    </oc>
    <nc r="Q25">
      <v>729.72299999999996</v>
    </nc>
  </rcc>
  <rfmt sheetId="11" sqref="Q25" start="0" length="2147483647">
    <dxf>
      <font>
        <color auto="1"/>
      </font>
    </dxf>
  </rfmt>
  <rcc rId="574" sId="11" numFmtId="4">
    <oc r="S25">
      <v>584.92999999999995</v>
    </oc>
    <nc r="S25">
      <v>584.93399999999997</v>
    </nc>
  </rcc>
  <rfmt sheetId="11" sqref="S25" start="0" length="2147483647">
    <dxf>
      <font>
        <color auto="1"/>
      </font>
    </dxf>
  </rfmt>
  <rcc rId="575" sId="11" numFmtId="4">
    <oc r="U25">
      <v>926.86</v>
    </oc>
    <nc r="U25">
      <v>926.85900000000004</v>
    </nc>
  </rcc>
  <rfmt sheetId="11" sqref="U25" start="0" length="2147483647">
    <dxf>
      <font>
        <color auto="1"/>
      </font>
    </dxf>
  </rfmt>
  <rcc rId="576" sId="11" numFmtId="4">
    <oc r="W25">
      <v>0</v>
    </oc>
    <nc r="W25">
      <v>727.06</v>
    </nc>
  </rcc>
  <rfmt sheetId="11" sqref="W25" start="0" length="2147483647">
    <dxf>
      <font>
        <color auto="1"/>
      </font>
    </dxf>
  </rfmt>
  <rcc rId="577" sId="11" numFmtId="4">
    <oc r="Y25">
      <v>0</v>
    </oc>
    <nc r="Y25">
      <v>516.38</v>
    </nc>
  </rcc>
  <rfmt sheetId="11" sqref="Y25" start="0" length="2147483647">
    <dxf>
      <font>
        <color auto="1"/>
      </font>
    </dxf>
  </rfmt>
  <rcc rId="578" sId="11" numFmtId="4">
    <oc r="AA25">
      <v>0</v>
    </oc>
    <nc r="AA25">
      <v>812.64099999999996</v>
    </nc>
  </rcc>
  <rfmt sheetId="11" sqref="AA25" start="0" length="2147483647">
    <dxf>
      <font>
        <color auto="1"/>
      </font>
    </dxf>
  </rfmt>
  <rcc rId="579" sId="11" numFmtId="4">
    <oc r="AC25">
      <v>0</v>
    </oc>
    <nc r="AC25">
      <v>613.47199999999998</v>
    </nc>
  </rcc>
  <rfmt sheetId="11" sqref="AC25" start="0" length="2147483647">
    <dxf>
      <font>
        <color auto="1"/>
      </font>
    </dxf>
  </rfmt>
  <rfmt sheetId="11" sqref="AD25:AG25" start="0" length="2147483647">
    <dxf>
      <font>
        <color auto="1"/>
      </font>
    </dxf>
  </rfmt>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0" sId="11" numFmtId="4">
    <oc r="W14">
      <v>201.18799999999999</v>
    </oc>
    <nc r="W14">
      <v>219.43100000000001</v>
    </nc>
  </rcc>
  <rfmt sheetId="11" sqref="W14" start="0" length="2147483647">
    <dxf>
      <font>
        <color auto="1"/>
      </font>
    </dxf>
  </rfmt>
  <rfmt sheetId="11" sqref="K19:V19" start="0" length="2147483647">
    <dxf>
      <font>
        <color auto="1"/>
      </font>
    </dxf>
  </rfmt>
  <rfmt sheetId="11" sqref="W19:AG19" start="0" length="2147483647">
    <dxf>
      <font>
        <color auto="1"/>
      </font>
    </dxf>
  </rfmt>
  <rfmt sheetId="11" sqref="L17" start="0" length="2147483647">
    <dxf>
      <font>
        <color auto="1"/>
      </font>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1" sId="11" numFmtId="4">
    <oc r="K27">
      <v>1158.2</v>
    </oc>
    <nc r="K27">
      <v>1158.204</v>
    </nc>
  </rcc>
  <rfmt sheetId="11" sqref="K27" start="0" length="2147483647">
    <dxf>
      <font>
        <color auto="1"/>
      </font>
    </dxf>
  </rfmt>
  <rcc rId="582" sId="11" numFmtId="4">
    <oc r="M27">
      <v>3406.56</v>
    </oc>
    <nc r="M27">
      <v>3406.5630000000001</v>
    </nc>
  </rcc>
  <rfmt sheetId="11" sqref="M27" start="0" length="2147483647">
    <dxf>
      <font>
        <color auto="1"/>
      </font>
    </dxf>
  </rfmt>
  <rcc rId="583" sId="11" numFmtId="4">
    <oc r="O27">
      <v>2765.64</v>
    </oc>
    <nc r="O27">
      <v>2765.6439999999998</v>
    </nc>
  </rcc>
  <rfmt sheetId="11" sqref="O27" start="0" length="2147483647">
    <dxf>
      <font>
        <color auto="1"/>
      </font>
    </dxf>
  </rfmt>
  <rcc rId="584" sId="11" numFmtId="4">
    <oc r="Q27">
      <v>3205.03</v>
    </oc>
    <nc r="Q27">
      <v>3205.0340000000001</v>
    </nc>
  </rcc>
  <rfmt sheetId="11" sqref="Q27" start="0" length="2147483647">
    <dxf>
      <font>
        <color auto="1"/>
      </font>
    </dxf>
  </rfmt>
  <rcc rId="585" sId="11" numFmtId="4">
    <oc r="S27">
      <v>3170.47</v>
    </oc>
    <nc r="S27">
      <v>3170.451</v>
    </nc>
  </rcc>
  <rfmt sheetId="11" sqref="S27" start="0" length="2147483647">
    <dxf>
      <font>
        <color auto="1"/>
      </font>
    </dxf>
  </rfmt>
  <rcc rId="586" sId="11" numFmtId="4">
    <oc r="U27">
      <v>3412.51</v>
    </oc>
    <nc r="U27">
      <v>3412.5129999999999</v>
    </nc>
  </rcc>
  <rfmt sheetId="11" sqref="U27" start="0" length="2147483647">
    <dxf>
      <font>
        <color auto="1"/>
      </font>
    </dxf>
  </rfmt>
  <rcc rId="587" sId="11" numFmtId="4">
    <oc r="W27">
      <v>0</v>
    </oc>
    <nc r="W27">
      <v>3283.4949999999999</v>
    </nc>
  </rcc>
  <rfmt sheetId="11" sqref="W27" start="0" length="2147483647">
    <dxf>
      <font>
        <color auto="1"/>
      </font>
    </dxf>
  </rfmt>
  <rcc rId="588" sId="11" numFmtId="4">
    <oc r="Y27">
      <v>0</v>
    </oc>
    <nc r="Y27">
      <v>2835.944</v>
    </nc>
  </rcc>
  <rfmt sheetId="11" sqref="Y27" start="0" length="2147483647">
    <dxf>
      <font>
        <color auto="1"/>
      </font>
    </dxf>
  </rfmt>
  <rcc rId="589" sId="11" numFmtId="4">
    <oc r="AA27">
      <v>0</v>
    </oc>
    <nc r="AA27">
      <v>2731.6019999999999</v>
    </nc>
  </rcc>
  <rfmt sheetId="11" sqref="AA27" start="0" length="2147483647">
    <dxf>
      <font>
        <color auto="1"/>
      </font>
    </dxf>
  </rfmt>
  <rcc rId="590" sId="11" numFmtId="4">
    <oc r="AC27">
      <v>0</v>
    </oc>
    <nc r="AC27">
      <v>2707.0169999999998</v>
    </nc>
  </rcc>
  <rfmt sheetId="11" sqref="AC27" start="0" length="2147483647">
    <dxf>
      <font>
        <color auto="1"/>
      </font>
    </dxf>
  </rfmt>
  <rfmt sheetId="11" sqref="AE27:AG27" start="0" length="2147483647">
    <dxf>
      <font>
        <color auto="1"/>
      </font>
    </dxf>
  </rfmt>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1" sId="11" numFmtId="4">
    <oc r="K18">
      <v>232.48</v>
    </oc>
    <nc r="K18">
      <v>232.476</v>
    </nc>
  </rcc>
  <rfmt sheetId="11" sqref="K17:K18" start="0" length="2147483647">
    <dxf>
      <font>
        <color auto="1"/>
      </font>
    </dxf>
  </rfmt>
  <rcc rId="592" sId="11" numFmtId="4">
    <oc r="M18">
      <v>225.9</v>
    </oc>
    <nc r="M18">
      <v>225.904</v>
    </nc>
  </rcc>
  <rfmt sheetId="11" sqref="M17:M18" start="0" length="2147483647">
    <dxf>
      <font>
        <color auto="1"/>
      </font>
    </dxf>
  </rfmt>
  <rcc rId="593" sId="11" numFmtId="4">
    <oc r="O18">
      <v>225.9</v>
    </oc>
    <nc r="O18">
      <v>225.904</v>
    </nc>
  </rcc>
  <rfmt sheetId="11" sqref="O17:O18" start="0" length="2147483647">
    <dxf>
      <font>
        <color auto="1"/>
      </font>
    </dxf>
  </rfmt>
  <rcc rId="594" sId="11" numFmtId="4">
    <oc r="Q18">
      <v>225.9</v>
    </oc>
    <nc r="Q18">
      <v>225.904</v>
    </nc>
  </rcc>
  <rfmt sheetId="11" sqref="Q17:Q18" start="0" length="2147483647">
    <dxf>
      <font>
        <color auto="1"/>
      </font>
    </dxf>
  </rfmt>
  <rcc rId="595" sId="11" numFmtId="4">
    <oc r="S18">
      <v>225.9</v>
    </oc>
    <nc r="S18">
      <v>225.904</v>
    </nc>
  </rcc>
  <rfmt sheetId="11" sqref="S17:S18" start="0" length="2147483647">
    <dxf>
      <font>
        <color auto="1"/>
      </font>
    </dxf>
  </rfmt>
  <rcc rId="596" sId="11" numFmtId="4">
    <oc r="U18">
      <v>225.9</v>
    </oc>
    <nc r="U18">
      <v>225.904</v>
    </nc>
  </rcc>
  <rfmt sheetId="11" sqref="U17:U18" start="0" length="2147483647">
    <dxf>
      <font>
        <color auto="1"/>
      </font>
    </dxf>
  </rfmt>
  <rcc rId="597" sId="11" numFmtId="4">
    <oc r="W18">
      <v>0</v>
    </oc>
    <nc r="W18">
      <v>225.904</v>
    </nc>
  </rcc>
  <rfmt sheetId="11" sqref="W17:W18" start="0" length="2147483647">
    <dxf>
      <font>
        <color auto="1"/>
      </font>
    </dxf>
  </rfmt>
  <rcc rId="598" sId="11" numFmtId="4">
    <oc r="Y18">
      <v>0</v>
    </oc>
    <nc r="Y18">
      <v>225.904</v>
    </nc>
  </rcc>
  <rfmt sheetId="11" sqref="Y17:Y18" start="0" length="2147483647">
    <dxf>
      <font>
        <color auto="1"/>
      </font>
    </dxf>
  </rfmt>
  <rcc rId="599" sId="11" numFmtId="4">
    <oc r="AA18">
      <v>0</v>
    </oc>
    <nc r="AA18">
      <v>225.904</v>
    </nc>
  </rcc>
  <rfmt sheetId="11" sqref="AA17:AA18" start="0" length="2147483647">
    <dxf>
      <font>
        <color auto="1"/>
      </font>
    </dxf>
  </rfmt>
  <rcc rId="600" sId="11" numFmtId="4">
    <oc r="AC18">
      <v>0</v>
    </oc>
    <nc r="AC18">
      <v>225.904</v>
    </nc>
  </rcc>
  <rfmt sheetId="11" sqref="AC17:AC18" start="0" length="2147483647">
    <dxf>
      <font>
        <color auto="1"/>
      </font>
    </dxf>
  </rfmt>
  <rfmt sheetId="11" sqref="AE17:AG18" start="0" length="2147483647">
    <dxf>
      <font>
        <color auto="1"/>
      </font>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H25" start="0" length="0">
    <dxf>
      <font>
        <sz val="12"/>
        <color auto="1"/>
        <name val="Times New Roman"/>
        <scheme val="none"/>
      </font>
      <fill>
        <patternFill patternType="none">
          <bgColor indexed="65"/>
        </patternFill>
      </fill>
      <alignment horizontal="left" vertical="top" readingOrder="0"/>
      <border outline="0">
        <bottom/>
      </border>
    </dxf>
  </rfmt>
  <rfmt sheetId="10" sqref="AH26" start="0" length="0">
    <dxf>
      <alignment horizontal="left" vertical="top" readingOrder="0"/>
      <border outline="0">
        <top/>
      </border>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1" sId="2" numFmtId="19">
    <oc r="E6">
      <v>45931</v>
    </oc>
    <nc r="E6">
      <v>45962</v>
    </nc>
  </rcc>
  <rcc rId="602" sId="2" numFmtId="19">
    <oc r="F6">
      <v>45931</v>
    </oc>
    <nc r="F6">
      <v>45962</v>
    </nc>
  </rcc>
  <rcc rId="603" sId="2" numFmtId="19">
    <oc r="G6">
      <v>45931</v>
    </oc>
    <nc r="G6">
      <v>45962</v>
    </nc>
  </rcc>
  <rcc rId="604" sId="2">
    <oc r="E19">
      <f>J19+L19+N19+P19+R19+T19+V19+X19+Z19</f>
    </oc>
    <nc r="E19">
      <f>J19+L19+N19+P19+R19+T19+V19+X19+Z19+AB19</f>
    </nc>
  </rcc>
  <rcc rId="605" sId="2">
    <oc r="E18">
      <f>J18+L18+N18+P18+R18+T18+V18+X18+Z18</f>
    </oc>
    <nc r="E18">
      <f>J18+L18+N18+P18+R18+T18+V18+X18+Z18+AB18</f>
    </nc>
  </rcc>
  <rcc rId="606" sId="2">
    <oc r="E14">
      <f>J14+L14+N14+P14+R14+T14+V14+X14+Z14</f>
    </oc>
    <nc r="E14">
      <f>J14+L14+N14+P14+R14+T14+V14+X14+Z14+AB14</f>
    </nc>
  </rcc>
  <rcc rId="607" sId="2">
    <oc r="E15">
      <f>J15+L15+N15+P15+R15+T15+V15+X15+Z15</f>
    </oc>
    <nc r="E15">
      <f>J15+L15+N15+P15+R15+T15+V15+X15+Z15+AB15</f>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9">
    <dxf>
      <fill>
        <patternFill patternType="solid">
          <bgColor rgb="FFFFFF00"/>
        </patternFill>
      </fill>
    </dxf>
  </rfmt>
  <rcc rId="608" sId="11">
    <oc r="K9">
      <f>K12+K25+K27</f>
    </oc>
    <nc r="K9">
      <f>K12+K25+K27</f>
    </nc>
  </rcc>
  <rcc rId="609" sId="11">
    <oc r="H12">
      <f>IFERROR(G12/D12*100,0)</f>
    </oc>
    <nc r="H12">
      <f>IFERROR(G12/D12*100,0)</f>
    </nc>
  </rcc>
  <rcc rId="610" sId="11">
    <oc r="I12">
      <f>IFERROR(G12/E12*100,0)</f>
    </oc>
    <nc r="I12">
      <f>IFERROR(G12/E12*100,0)</f>
    </nc>
  </rcc>
  <rcc rId="611" sId="11">
    <oc r="G13">
      <f>G14</f>
    </oc>
    <nc r="G13">
      <f>G14</f>
    </nc>
  </rcc>
  <rcc rId="612" sId="11">
    <oc r="K12">
      <f>K14+K16+K18+K20+K22</f>
    </oc>
    <nc r="K12">
      <f>K14+K16+K18+K20+K22</f>
    </nc>
  </rcc>
  <rcc rId="613" sId="11">
    <oc r="F13">
      <f>F14</f>
    </oc>
    <nc r="F13">
      <f>F14</f>
    </nc>
  </rcc>
  <rfmt sheetId="11" sqref="B13:B22">
    <dxf>
      <fill>
        <patternFill patternType="solid">
          <bgColor rgb="FFFFFF00"/>
        </patternFill>
      </fill>
    </dxf>
  </rfmt>
  <rcc rId="614" sId="11">
    <oc r="G9">
      <f>G25</f>
    </oc>
    <nc r="G9">
      <f>K9+M9+O9+Q9+S9+W9+U9+Y9+AA9+AC9++AE9+AG9</f>
    </nc>
  </rcc>
  <rfmt sheetId="11" sqref="F9">
    <dxf>
      <fill>
        <patternFill patternType="none">
          <bgColor auto="1"/>
        </patternFill>
      </fill>
    </dxf>
  </rfmt>
  <rcc rId="615" sId="11">
    <oc r="E9">
      <f>E25</f>
    </oc>
    <nc r="E9">
      <f>J9+L9+N9+P9+R9+T9+V9+X9+Z9+AB9</f>
    </nc>
  </rcc>
  <rfmt sheetId="11" sqref="E9">
    <dxf>
      <fill>
        <patternFill patternType="solid">
          <bgColor rgb="FF92D050"/>
        </patternFill>
      </fill>
    </dxf>
  </rfmt>
  <rfmt sheetId="11" sqref="D9">
    <dxf>
      <fill>
        <patternFill patternType="solid">
          <bgColor rgb="FF92D050"/>
        </patternFill>
      </fill>
    </dxf>
  </rfmt>
  <rcc rId="616" sId="11">
    <oc r="F9">
      <f>F25</f>
    </oc>
    <nc r="F9">
      <f>K9+M9+O9+Q9+S9+U9+W9+Y9+AA9+AC9</f>
    </nc>
  </rcc>
  <rfmt sheetId="11" sqref="F9">
    <dxf>
      <fill>
        <patternFill patternType="solid">
          <bgColor rgb="FF92D050"/>
        </patternFill>
      </fill>
    </dxf>
  </rfmt>
  <rcc rId="617" sId="11">
    <oc r="P12">
      <f>P14+P16+P18+P20+P22</f>
    </oc>
    <nc r="P12">
      <f>P14+P16+P18+P20+P22</f>
    </nc>
  </rcc>
  <rfmt sheetId="11" sqref="AI8" start="0" length="0">
    <dxf>
      <numFmt numFmtId="166" formatCode="#,##0.00_ ;[Red]\-#,##0.00\ "/>
    </dxf>
  </rfmt>
  <rfmt sheetId="11" sqref="AI9" start="0" length="0">
    <dxf>
      <font>
        <b/>
        <color auto="1"/>
      </font>
      <numFmt numFmtId="166" formatCode="#,##0.00_ ;[Red]\-#,##0.00\ "/>
    </dxf>
  </rfmt>
  <rfmt sheetId="11" sqref="AI10" start="0" length="0">
    <dxf>
      <font>
        <b/>
        <color auto="1"/>
      </font>
      <numFmt numFmtId="166" formatCode="#,##0.00_ ;[Red]\-#,##0.00\ "/>
    </dxf>
  </rfmt>
  <rfmt sheetId="11" sqref="AI13" start="0" length="0">
    <dxf>
      <font>
        <b/>
        <sz val="12"/>
        <color auto="1"/>
        <name val="Times New Roman"/>
        <scheme val="minor"/>
      </font>
      <alignment vertical="center" readingOrder="0"/>
    </dxf>
  </rfmt>
  <rfmt sheetId="11" sqref="AI14" start="0" length="0">
    <dxf>
      <font>
        <b/>
        <sz val="12"/>
        <color auto="1"/>
        <name val="Times New Roman"/>
        <scheme val="minor"/>
      </font>
      <alignment vertical="center" readingOrder="0"/>
    </dxf>
  </rfmt>
  <rfmt sheetId="11" sqref="AI15" start="0" length="0">
    <dxf>
      <font>
        <b/>
        <sz val="12"/>
        <color auto="1"/>
        <name val="Times New Roman"/>
        <scheme val="minor"/>
      </font>
      <alignment vertical="center" readingOrder="0"/>
    </dxf>
  </rfmt>
  <rfmt sheetId="11" sqref="AI16" start="0" length="0">
    <dxf>
      <font>
        <b/>
        <sz val="12"/>
        <color auto="1"/>
        <name val="Times New Roman"/>
        <scheme val="minor"/>
      </font>
      <alignment vertical="center" readingOrder="0"/>
    </dxf>
  </rfmt>
  <rfmt sheetId="11" sqref="AI17" start="0" length="0">
    <dxf>
      <font>
        <b/>
        <sz val="12"/>
        <color auto="1"/>
        <name val="Times New Roman"/>
        <scheme val="minor"/>
      </font>
      <alignment vertical="center" readingOrder="0"/>
    </dxf>
  </rfmt>
  <rfmt sheetId="11" sqref="AI18" start="0" length="0">
    <dxf>
      <font>
        <b/>
        <sz val="12"/>
        <color auto="1"/>
        <name val="Times New Roman"/>
        <scheme val="minor"/>
      </font>
      <alignment vertical="center" readingOrder="0"/>
    </dxf>
  </rfmt>
  <rfmt sheetId="11" sqref="AI19" start="0" length="0">
    <dxf>
      <font>
        <b/>
        <sz val="12"/>
        <color auto="1"/>
        <name val="Times New Roman"/>
        <scheme val="minor"/>
      </font>
      <alignment vertical="center" readingOrder="0"/>
    </dxf>
  </rfmt>
  <rfmt sheetId="11" sqref="AI20" start="0" length="0">
    <dxf>
      <font>
        <b/>
        <sz val="12"/>
        <color auto="1"/>
        <name val="Times New Roman"/>
        <scheme val="minor"/>
      </font>
      <alignment vertical="center" readingOrder="0"/>
    </dxf>
  </rfmt>
  <rfmt sheetId="11" sqref="AI21" start="0" length="0">
    <dxf>
      <font>
        <b/>
        <sz val="12"/>
        <color auto="1"/>
        <name val="Times New Roman"/>
        <scheme val="minor"/>
      </font>
      <alignment vertical="center" readingOrder="0"/>
    </dxf>
  </rfmt>
  <rfmt sheetId="11" sqref="AI22" start="0" length="0">
    <dxf>
      <font>
        <b/>
        <sz val="12"/>
        <color auto="1"/>
        <name val="Times New Roman"/>
        <scheme val="minor"/>
      </font>
      <alignment vertical="center" readingOrder="0"/>
    </dxf>
  </rfmt>
  <rfmt sheetId="11" sqref="AI23" start="0" length="0">
    <dxf>
      <font>
        <b/>
        <color auto="1"/>
      </font>
      <numFmt numFmtId="166" formatCode="#,##0.00_ ;[Red]\-#,##0.00\ "/>
    </dxf>
  </rfmt>
  <rfmt sheetId="11" sqref="AI24" start="0" length="0">
    <dxf>
      <font>
        <b/>
        <sz val="16"/>
        <color auto="1"/>
      </font>
    </dxf>
  </rfmt>
  <rfmt sheetId="11" sqref="AI25" start="0" length="0">
    <dxf>
      <font>
        <b/>
        <sz val="16"/>
        <color auto="1"/>
      </font>
    </dxf>
  </rfmt>
  <rfmt sheetId="11" sqref="AI26" start="0" length="0">
    <dxf>
      <font>
        <b/>
        <sz val="16"/>
        <color auto="1"/>
      </font>
    </dxf>
  </rfmt>
  <rfmt sheetId="11" sqref="AI27" start="0" length="0">
    <dxf>
      <font>
        <b/>
        <sz val="16"/>
        <color auto="1"/>
      </font>
    </dxf>
  </rfmt>
  <rcc rId="618" sId="11">
    <nc r="AI8">
      <f>E8-G8</f>
    </nc>
  </rcc>
  <rcc rId="619" sId="11">
    <nc r="AI9">
      <f>E9-G9</f>
    </nc>
  </rcc>
  <rcc rId="620" sId="11">
    <nc r="AI11">
      <f>E11-G11</f>
    </nc>
  </rcc>
  <rcc rId="621" sId="11">
    <nc r="AI12">
      <f>E12-G12</f>
    </nc>
  </rcc>
  <rcc rId="622" sId="11">
    <nc r="AI13">
      <f>E13-G13</f>
    </nc>
  </rcc>
  <rcc rId="623" sId="11">
    <nc r="AI14">
      <f>E14-G14</f>
    </nc>
  </rcc>
  <rcc rId="624" sId="11">
    <nc r="AI15">
      <f>E15-G15</f>
    </nc>
  </rcc>
  <rcc rId="625" sId="11">
    <nc r="AI16">
      <f>E16-G16</f>
    </nc>
  </rcc>
  <rcc rId="626" sId="11">
    <nc r="AI17">
      <f>E17-G17</f>
    </nc>
  </rcc>
  <rcc rId="627" sId="11">
    <nc r="AI18">
      <f>E18-G18</f>
    </nc>
  </rcc>
  <rcc rId="628" sId="11">
    <nc r="AI19">
      <f>E19-G19</f>
    </nc>
  </rcc>
  <rcc rId="629" sId="11">
    <nc r="AI20">
      <f>E20-G20</f>
    </nc>
  </rcc>
  <rcc rId="630" sId="11">
    <nc r="AI21">
      <f>E21-G21</f>
    </nc>
  </rcc>
  <rcc rId="631" sId="11">
    <nc r="AI22">
      <f>E22-G22</f>
    </nc>
  </rcc>
  <rcc rId="632" sId="11">
    <nc r="AI24">
      <f>E24-G24</f>
    </nc>
  </rcc>
  <rcc rId="633" sId="11">
    <nc r="AI25">
      <f>E25-G25</f>
    </nc>
  </rcc>
  <rcc rId="634" sId="11">
    <nc r="AI26">
      <f>E26-G26</f>
    </nc>
  </rcc>
  <rcc rId="635" sId="11">
    <nc r="AI27">
      <f>E27-G27</f>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fmt sheetId="8" sqref="B18:B20" start="0" length="2147483647">
    <dxf>
      <font>
        <color auto="1"/>
      </font>
    </dxf>
  </rfmt>
  <rfmt sheetId="8" sqref="B4:B6 B8:B11 B13:B16" start="0" length="2147483647">
    <dxf>
      <font>
        <color auto="1"/>
      </font>
    </dxf>
  </rfmt>
  <rfmt sheetId="8" sqref="B34:B37" start="0" length="2147483647">
    <dxf>
      <font>
        <color auto="1"/>
      </font>
    </dxf>
  </rfmt>
  <rfmt sheetId="8" sqref="B49:B50 B55:B56" start="0" length="2147483647">
    <dxf>
      <font>
        <color auto="1"/>
      </font>
    </dxf>
  </rfmt>
  <rfmt sheetId="8" sqref="B57:B58" start="0" length="2147483647">
    <dxf>
      <font>
        <color auto="1"/>
      </font>
    </dxf>
  </rfmt>
  <rcc rId="58" sId="8" numFmtId="4">
    <oc r="Y58">
      <v>0</v>
    </oc>
    <nc r="Y58">
      <v>6349.42</v>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AH17" start="0" length="0">
    <dxf>
      <font>
        <sz val="12"/>
        <color auto="1"/>
        <name val="Times New Roman"/>
        <scheme val="none"/>
      </font>
      <fill>
        <patternFill patternType="solid">
          <bgColor theme="0"/>
        </patternFill>
      </fill>
    </dxf>
  </rfmt>
  <rfmt sheetId="2" s="1" sqref="AH18" start="0" length="0">
    <dxf>
      <alignment horizontal="left" readingOrder="0"/>
    </dxf>
  </rfmt>
  <rfmt sheetId="2" s="1" sqref="AH19" start="0" length="0">
    <dxf>
      <alignment horizontal="left" readingOrder="0"/>
    </dxf>
  </rfmt>
  <rfmt sheetId="2" sqref="AH17" start="0" length="2147483647">
    <dxf>
      <font>
        <sz val="10"/>
      </font>
    </dxf>
  </rfmt>
  <rcc rId="644" sId="2">
    <oc r="AH17" t="inlineStr">
      <is>
        <t xml:space="preserve"> 
    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01.10.2025 составили 14 159,75 рублей.</t>
      </is>
    </oc>
    <n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is>
    </nc>
  </rcc>
  <rfmt sheetId="2" s="1" sqref="AH13" start="0" length="0">
    <dxf>
      <font>
        <sz val="12"/>
        <color auto="1"/>
        <name val="Times New Roman"/>
        <scheme val="none"/>
      </font>
      <numFmt numFmtId="165" formatCode="#,##0_ ;[Red]\-#,##0\ "/>
      <fill>
        <patternFill patternType="solid">
          <bgColor theme="6" tint="0.79998168889431442"/>
        </patternFill>
      </fill>
    </dxf>
  </rfmt>
  <rfmt sheetId="2" sqref="AH13" start="0" length="2147483647">
    <dxf>
      <font>
        <sz val="10"/>
      </font>
    </dxf>
  </rfmt>
  <rfmt sheetId="2" s="1" sqref="AH13" start="0" length="0">
    <dxf>
      <font>
        <sz val="12"/>
        <color auto="1"/>
        <name val="Times New Roman"/>
        <scheme val="none"/>
      </font>
      <numFmt numFmtId="0" formatCode="General"/>
      <fill>
        <patternFill patternType="none">
          <bgColor indexed="65"/>
        </patternFill>
      </fill>
    </dxf>
  </rfmt>
  <rcc rId="645" sId="2">
    <oc r="AH13" t="inlineStr">
      <is>
        <t xml:space="preserve"> 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на сумму 120,1 иыс.руб.;
- от 03.04.2025 №2/Л с ООО "РГС" на Выполнение работ по капитальному ремонту фонтанов на территории Рябинового бульвара, расположенного вдоль улицы Прибалтийской  на сумму 36 496,00 ты. руб.;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на сумму 2 521,00 тыс. руб.;
- от 10.04.2025 №3/Л с ООО " ДОРСТРОЙСЕРВИС " на Выполнение работ по ремонту пешеходной дорожки от улицы дружбы народов до улицы Широкая на сумму 20 000,00 тыс.руб.;
- от 14.04.2025 №15/2025 с ИП Гаджикулиев Физули Мусануфович на Оказание услуг по удалению ледяных пробок паром высокого давления в системе ливневой канализации на территории города Когалыма на сумму 600,00 тыс.руб.;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ЮРИЙ НИКОЛАЕВИЧ на Оказание услуг по демонтажу и транспортировке на хранение новогодних композиций на сумму 446,04 тыс.руб.;
- от 15.04.2025 №17/2025 с ООО "УПТК" на  Оказание услуг по хранению новогодних композиций на сумму 380,10 тыс. руб.;
- от 18.04.2025 №1/2213 с ИП Ханиева Н.А. на Оказание услуг по оформлению технических планов на инженерные сети ливневой канализации на сумму 91,0 тыс. руб.;
- от 22.04.2025 №25СКК163 с ООО "СПОРТИВНО-КУЛЬТУРНЫЙ КОМПЛЕКС" на поставку полиграфической продукции на сумму 134,42 тыс. руб.;
- от 24.04.2025 №18/2025 с ООО "ГАРАНТИЯ" на оказание услуг по содержанию специальных урн (дог-боксов) на сумму 228,8 тыс. руб.;
- от 24.04.2025 №19/2025 с ИП БЕЛОЗЕРОВ ВЛАДИСЛАВ АЛЕКСАНДРОВИЧ на оказание услуг по изготовлению пленки с оклейкой (брендирование) транспортных средств (автобусов) на сумму 560,9 тыс. руб.;
- от 28.04.2025 №201 с ООО "Частная охранная организация "Вектор" на оказание услуг по охране объекта "Этнодеревня" на территории города Когалыма на сумму 474,48 тыс. руб.;
- от 29.04.2025 №20/2025 с ИП Лучинина М.М. на выполнение работ по разработке проектно- сметной документации на строительство объекта благоустройства "Экотропа в г.Когалыме" 2 этап на сумму 318,19 тыс. руб.;
- от 30.04.2025 №21/2025 с ИП Скляр Леонид Петрович на оказание услуг по содержанию объекта "Этнодеревня" на сумму 559,39 тыс. руб.;
- от 30.04.2025 №22/2025 с ООО "ТУРА-ЗЕЛЕНГРУПП" на поставку саженцев деревьев на сумму 599,99 тыс. руб.;
- от 22.05.2025 №24/2025 с ИП Никулина Наталья Эдуардовна на поставку флагов на сумму 417,58 тыс.руб.;
- от 20.05.2025 №6/1 с ИП Гультяев Артур Вячеславович на выполнение работ по покраске фасадов жилых домов в городе Когалыме на сумму 37 468,62 тыс. руб.;
- от 28.05.2025 №2025.612214 с ООО "СТРОЙУСПЕХ" на поставка хозяйственных товаров на сумму 98,46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t>
      </is>
    </oc>
    <n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is>
    </nc>
  </rcc>
  <rfmt sheetId="2" sqref="AH13">
    <dxf>
      <alignment vertical="top" readingOrder="0"/>
    </dxf>
  </rfmt>
  <rcc rId="646" sId="2" odxf="1" s="1" dxf="1">
    <n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is>
    </nc>
    <odxf>
      <font>
        <b/>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sz val="12"/>
        <color auto="1"/>
        <name val="Times New Roman"/>
        <scheme val="none"/>
      </font>
      <numFmt numFmtId="165" formatCode="#,##0_ ;[Red]\-#,##0\ "/>
      <fill>
        <patternFill>
          <bgColor theme="6" tint="0.79998168889431442"/>
        </patternFill>
      </fill>
      <alignment horizontal="left" vertical="top" readingOrder="0"/>
    </ndxf>
  </rcc>
  <rfmt sheetId="2" sqref="AH14">
    <dxf>
      <fill>
        <patternFill>
          <bgColor theme="0"/>
        </patternFill>
      </fill>
    </dxf>
  </rfmt>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3" sId="11" numFmtId="19">
    <oc r="E6">
      <v>45839</v>
    </oc>
    <nc r="E6">
      <v>45962</v>
    </nc>
  </rcc>
  <rcc rId="664" sId="11" numFmtId="19">
    <oc r="F6">
      <v>45839</v>
    </oc>
    <nc r="F6">
      <v>45962</v>
    </nc>
  </rcc>
  <rcc rId="665" sId="11" numFmtId="19">
    <oc r="G6">
      <v>45839</v>
    </oc>
    <nc r="G6">
      <v>45962</v>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1:D12" start="0" length="2147483647">
    <dxf>
      <font>
        <color auto="1"/>
      </font>
    </dxf>
  </rfmt>
  <rcc rId="666" sId="11">
    <oc r="E12">
      <f>J12</f>
    </oc>
    <nc r="E12">
      <f>J12+L12+N12+P12+R12+T12+V12+X12+Z12+AB12</f>
    </nc>
  </rcc>
  <rfmt sheetId="11" sqref="E11:E12" start="0" length="2147483647">
    <dxf>
      <font>
        <color auto="1"/>
      </font>
    </dxf>
  </rfmt>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9:F9">
    <dxf>
      <fill>
        <patternFill>
          <bgColor theme="0"/>
        </patternFill>
      </fill>
    </dxf>
  </rfmt>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D9" start="0" length="2147483647">
    <dxf>
      <font>
        <color auto="1"/>
      </font>
    </dxf>
  </rfmt>
  <rfmt sheetId="11" sqref="E8:E9" start="0" length="2147483647">
    <dxf>
      <font>
        <color auto="1"/>
      </font>
    </dxf>
  </rfmt>
  <rfmt sheetId="11" sqref="F8:F9" start="0" length="2147483647">
    <dxf>
      <font>
        <color auto="1"/>
      </font>
    </dxf>
  </rfmt>
  <rfmt sheetId="11" sqref="G8:G9" start="0" length="2147483647">
    <dxf>
      <font>
        <color auto="1"/>
      </font>
    </dxf>
  </rfmt>
  <rfmt sheetId="11" sqref="H8:I9" start="0" length="2147483647">
    <dxf>
      <font>
        <color auto="1"/>
      </font>
    </dxf>
  </rfmt>
  <rfmt sheetId="11" sqref="F11:G12" start="0" length="2147483647">
    <dxf>
      <font>
        <color auto="1"/>
      </font>
    </dxf>
  </rfmt>
  <rfmt sheetId="11" sqref="H11:I12" start="0" length="2147483647">
    <dxf>
      <font>
        <color auto="1"/>
      </font>
    </dxf>
  </rfmt>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3:D14" start="0" length="2147483647">
    <dxf>
      <font>
        <color auto="1"/>
      </font>
    </dxf>
  </rfmt>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7" sId="11">
    <oc r="E14">
      <f>J14+L14+N14+P14+R14</f>
    </oc>
    <nc r="E14">
      <f>J14+L14+N14+P14+R14+T14+V14+X14+Z14+AB14</f>
    </nc>
  </rcc>
  <rfmt sheetId="11" sqref="E13:E14" start="0" length="2147483647">
    <dxf>
      <font>
        <color auto="1"/>
      </font>
    </dxf>
  </rfmt>
  <rfmt sheetId="11" sqref="F13:I14" start="0" length="2147483647">
    <dxf>
      <font>
        <color auto="1"/>
      </font>
    </dxf>
  </rfmt>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5:D16" start="0" length="2147483647">
    <dxf>
      <font>
        <color auto="1"/>
      </font>
    </dxf>
  </rfmt>
  <rcc rId="668" sId="11">
    <oc r="E16">
      <f>J16</f>
    </oc>
    <nc r="E16">
      <f>J16+L16+N16+P16+R16+T16+V16+X16+Z16+AB16</f>
    </nc>
  </rcc>
  <rfmt sheetId="11" sqref="E15:E16" start="0" length="2147483647">
    <dxf>
      <font>
        <color auto="1"/>
      </font>
    </dxf>
  </rfmt>
  <rfmt sheetId="11" sqref="F15:I16" start="0" length="2147483647">
    <dxf>
      <font>
        <color auto="1"/>
      </font>
    </dxf>
  </rfmt>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7:D18" start="0" length="2147483647">
    <dxf>
      <font>
        <color auto="1"/>
      </font>
    </dxf>
  </rfmt>
  <rcc rId="669" sId="11">
    <oc r="E18">
      <f>J18+L18+N18+P18</f>
    </oc>
    <nc r="E18">
      <f>J18+L18+N18+P18+R18+T18+V18+X18+Z18+AB18</f>
    </nc>
  </rcc>
  <rfmt sheetId="11" sqref="E17:F18" start="0" length="2147483647">
    <dxf>
      <font>
        <color auto="1"/>
      </font>
    </dxf>
  </rfmt>
  <rfmt sheetId="11" sqref="G17:I18" start="0" length="2147483647">
    <dxf>
      <font>
        <color auto="1"/>
      </font>
    </dxf>
  </rfmt>
  <rfmt sheetId="11" sqref="D19:D20" start="0" length="2147483647">
    <dxf>
      <font>
        <color auto="1"/>
      </font>
    </dxf>
  </rfmt>
  <rcc rId="670" sId="11">
    <oc r="E20">
      <f>J20</f>
    </oc>
    <nc r="E20">
      <f>J20+L20+N20+P20+R20+T20+V20+X20+Z20+AB20</f>
    </nc>
  </rcc>
  <rfmt sheetId="11" sqref="E19:I20" start="0" length="2147483647">
    <dxf>
      <font>
        <color auto="1"/>
      </font>
    </dxf>
  </rfmt>
  <rfmt sheetId="11" sqref="D21:D22" start="0" length="2147483647">
    <dxf>
      <font>
        <color auto="1"/>
      </font>
    </dxf>
  </rfmt>
  <rcc rId="671" sId="11">
    <oc r="E22">
      <f>J22</f>
    </oc>
    <nc r="E22">
      <f>J22+L22+N22+P22+R22+T22+V22+X22+Z22+AB22</f>
    </nc>
  </rcc>
  <rfmt sheetId="11" sqref="E21:E22" start="0" length="2147483647">
    <dxf>
      <font>
        <color auto="1"/>
      </font>
    </dxf>
  </rfmt>
  <rfmt sheetId="11" sqref="F21:I22" start="0" length="2147483647">
    <dxf>
      <font>
        <color auto="1"/>
      </font>
    </dxf>
  </rfmt>
  <rfmt sheetId="11" sqref="B13:B22">
    <dxf>
      <fill>
        <patternFill>
          <bgColor theme="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18" Type="http://schemas.openxmlformats.org/officeDocument/2006/relationships/printerSettings" Target="../printerSettings/printerSettings226.bin"/><Relationship Id="rId26" Type="http://schemas.openxmlformats.org/officeDocument/2006/relationships/printerSettings" Target="../printerSettings/printerSettings234.bin"/><Relationship Id="rId3" Type="http://schemas.openxmlformats.org/officeDocument/2006/relationships/printerSettings" Target="../printerSettings/printerSettings211.bin"/><Relationship Id="rId21" Type="http://schemas.openxmlformats.org/officeDocument/2006/relationships/printerSettings" Target="../printerSettings/printerSettings229.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printerSettings" Target="../printerSettings/printerSettings225.bin"/><Relationship Id="rId25" Type="http://schemas.openxmlformats.org/officeDocument/2006/relationships/printerSettings" Target="../printerSettings/printerSettings233.bin"/><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20" Type="http://schemas.openxmlformats.org/officeDocument/2006/relationships/printerSettings" Target="../printerSettings/printerSettings228.bin"/><Relationship Id="rId29" Type="http://schemas.openxmlformats.org/officeDocument/2006/relationships/printerSettings" Target="../printerSettings/printerSettings237.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24" Type="http://schemas.openxmlformats.org/officeDocument/2006/relationships/printerSettings" Target="../printerSettings/printerSettings232.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23" Type="http://schemas.openxmlformats.org/officeDocument/2006/relationships/printerSettings" Target="../printerSettings/printerSettings231.bin"/><Relationship Id="rId28" Type="http://schemas.openxmlformats.org/officeDocument/2006/relationships/printerSettings" Target="../printerSettings/printerSettings236.bin"/><Relationship Id="rId10" Type="http://schemas.openxmlformats.org/officeDocument/2006/relationships/printerSettings" Target="../printerSettings/printerSettings218.bin"/><Relationship Id="rId19" Type="http://schemas.openxmlformats.org/officeDocument/2006/relationships/printerSettings" Target="../printerSettings/printerSettings227.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 Id="rId22" Type="http://schemas.openxmlformats.org/officeDocument/2006/relationships/printerSettings" Target="../printerSettings/printerSettings230.bin"/><Relationship Id="rId27" Type="http://schemas.openxmlformats.org/officeDocument/2006/relationships/printerSettings" Target="../printerSettings/printerSettings23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5.bin"/><Relationship Id="rId13" Type="http://schemas.openxmlformats.org/officeDocument/2006/relationships/printerSettings" Target="../printerSettings/printerSettings250.bin"/><Relationship Id="rId18" Type="http://schemas.openxmlformats.org/officeDocument/2006/relationships/printerSettings" Target="../printerSettings/printerSettings255.bin"/><Relationship Id="rId26" Type="http://schemas.openxmlformats.org/officeDocument/2006/relationships/printerSettings" Target="../printerSettings/printerSettings263.bin"/><Relationship Id="rId3" Type="http://schemas.openxmlformats.org/officeDocument/2006/relationships/printerSettings" Target="../printerSettings/printerSettings240.bin"/><Relationship Id="rId21" Type="http://schemas.openxmlformats.org/officeDocument/2006/relationships/printerSettings" Target="../printerSettings/printerSettings258.bin"/><Relationship Id="rId7" Type="http://schemas.openxmlformats.org/officeDocument/2006/relationships/printerSettings" Target="../printerSettings/printerSettings244.bin"/><Relationship Id="rId12" Type="http://schemas.openxmlformats.org/officeDocument/2006/relationships/printerSettings" Target="../printerSettings/printerSettings249.bin"/><Relationship Id="rId17" Type="http://schemas.openxmlformats.org/officeDocument/2006/relationships/printerSettings" Target="../printerSettings/printerSettings254.bin"/><Relationship Id="rId25" Type="http://schemas.openxmlformats.org/officeDocument/2006/relationships/printerSettings" Target="../printerSettings/printerSettings262.bin"/><Relationship Id="rId2" Type="http://schemas.openxmlformats.org/officeDocument/2006/relationships/printerSettings" Target="../printerSettings/printerSettings239.bin"/><Relationship Id="rId16" Type="http://schemas.openxmlformats.org/officeDocument/2006/relationships/printerSettings" Target="../printerSettings/printerSettings253.bin"/><Relationship Id="rId20" Type="http://schemas.openxmlformats.org/officeDocument/2006/relationships/printerSettings" Target="../printerSettings/printerSettings257.bin"/><Relationship Id="rId29" Type="http://schemas.openxmlformats.org/officeDocument/2006/relationships/printerSettings" Target="../printerSettings/printerSettings266.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11" Type="http://schemas.openxmlformats.org/officeDocument/2006/relationships/printerSettings" Target="../printerSettings/printerSettings248.bin"/><Relationship Id="rId24" Type="http://schemas.openxmlformats.org/officeDocument/2006/relationships/printerSettings" Target="../printerSettings/printerSettings261.bin"/><Relationship Id="rId5" Type="http://schemas.openxmlformats.org/officeDocument/2006/relationships/printerSettings" Target="../printerSettings/printerSettings242.bin"/><Relationship Id="rId15" Type="http://schemas.openxmlformats.org/officeDocument/2006/relationships/printerSettings" Target="../printerSettings/printerSettings252.bin"/><Relationship Id="rId23" Type="http://schemas.openxmlformats.org/officeDocument/2006/relationships/printerSettings" Target="../printerSettings/printerSettings260.bin"/><Relationship Id="rId28" Type="http://schemas.openxmlformats.org/officeDocument/2006/relationships/printerSettings" Target="../printerSettings/printerSettings265.bin"/><Relationship Id="rId10" Type="http://schemas.openxmlformats.org/officeDocument/2006/relationships/printerSettings" Target="../printerSettings/printerSettings247.bin"/><Relationship Id="rId19" Type="http://schemas.openxmlformats.org/officeDocument/2006/relationships/printerSettings" Target="../printerSettings/printerSettings256.bin"/><Relationship Id="rId4" Type="http://schemas.openxmlformats.org/officeDocument/2006/relationships/printerSettings" Target="../printerSettings/printerSettings241.bin"/><Relationship Id="rId9" Type="http://schemas.openxmlformats.org/officeDocument/2006/relationships/printerSettings" Target="../printerSettings/printerSettings246.bin"/><Relationship Id="rId14" Type="http://schemas.openxmlformats.org/officeDocument/2006/relationships/printerSettings" Target="../printerSettings/printerSettings251.bin"/><Relationship Id="rId22" Type="http://schemas.openxmlformats.org/officeDocument/2006/relationships/printerSettings" Target="../printerSettings/printerSettings259.bin"/><Relationship Id="rId27" Type="http://schemas.openxmlformats.org/officeDocument/2006/relationships/printerSettings" Target="../printerSettings/printerSettings26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4.bin"/><Relationship Id="rId13" Type="http://schemas.openxmlformats.org/officeDocument/2006/relationships/printerSettings" Target="../printerSettings/printerSettings279.bin"/><Relationship Id="rId18" Type="http://schemas.openxmlformats.org/officeDocument/2006/relationships/printerSettings" Target="../printerSettings/printerSettings284.bin"/><Relationship Id="rId26" Type="http://schemas.openxmlformats.org/officeDocument/2006/relationships/printerSettings" Target="../printerSettings/printerSettings292.bin"/><Relationship Id="rId3" Type="http://schemas.openxmlformats.org/officeDocument/2006/relationships/printerSettings" Target="../printerSettings/printerSettings269.bin"/><Relationship Id="rId21" Type="http://schemas.openxmlformats.org/officeDocument/2006/relationships/printerSettings" Target="../printerSettings/printerSettings287.bin"/><Relationship Id="rId7" Type="http://schemas.openxmlformats.org/officeDocument/2006/relationships/printerSettings" Target="../printerSettings/printerSettings273.bin"/><Relationship Id="rId12" Type="http://schemas.openxmlformats.org/officeDocument/2006/relationships/printerSettings" Target="../printerSettings/printerSettings278.bin"/><Relationship Id="rId17" Type="http://schemas.openxmlformats.org/officeDocument/2006/relationships/printerSettings" Target="../printerSettings/printerSettings283.bin"/><Relationship Id="rId25" Type="http://schemas.openxmlformats.org/officeDocument/2006/relationships/printerSettings" Target="../printerSettings/printerSettings291.bin"/><Relationship Id="rId2" Type="http://schemas.openxmlformats.org/officeDocument/2006/relationships/printerSettings" Target="../printerSettings/printerSettings268.bin"/><Relationship Id="rId16" Type="http://schemas.openxmlformats.org/officeDocument/2006/relationships/printerSettings" Target="../printerSettings/printerSettings282.bin"/><Relationship Id="rId20" Type="http://schemas.openxmlformats.org/officeDocument/2006/relationships/printerSettings" Target="../printerSettings/printerSettings286.bin"/><Relationship Id="rId29" Type="http://schemas.openxmlformats.org/officeDocument/2006/relationships/printerSettings" Target="../printerSettings/printerSettings295.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11" Type="http://schemas.openxmlformats.org/officeDocument/2006/relationships/printerSettings" Target="../printerSettings/printerSettings277.bin"/><Relationship Id="rId24" Type="http://schemas.openxmlformats.org/officeDocument/2006/relationships/printerSettings" Target="../printerSettings/printerSettings290.bin"/><Relationship Id="rId5" Type="http://schemas.openxmlformats.org/officeDocument/2006/relationships/printerSettings" Target="../printerSettings/printerSettings271.bin"/><Relationship Id="rId15" Type="http://schemas.openxmlformats.org/officeDocument/2006/relationships/printerSettings" Target="../printerSettings/printerSettings281.bin"/><Relationship Id="rId23" Type="http://schemas.openxmlformats.org/officeDocument/2006/relationships/printerSettings" Target="../printerSettings/printerSettings289.bin"/><Relationship Id="rId28" Type="http://schemas.openxmlformats.org/officeDocument/2006/relationships/printerSettings" Target="../printerSettings/printerSettings294.bin"/><Relationship Id="rId10" Type="http://schemas.openxmlformats.org/officeDocument/2006/relationships/printerSettings" Target="../printerSettings/printerSettings276.bin"/><Relationship Id="rId19" Type="http://schemas.openxmlformats.org/officeDocument/2006/relationships/printerSettings" Target="../printerSettings/printerSettings285.bin"/><Relationship Id="rId31" Type="http://schemas.openxmlformats.org/officeDocument/2006/relationships/comments" Target="../comments2.xml"/><Relationship Id="rId4" Type="http://schemas.openxmlformats.org/officeDocument/2006/relationships/printerSettings" Target="../printerSettings/printerSettings270.bin"/><Relationship Id="rId9" Type="http://schemas.openxmlformats.org/officeDocument/2006/relationships/printerSettings" Target="../printerSettings/printerSettings275.bin"/><Relationship Id="rId14" Type="http://schemas.openxmlformats.org/officeDocument/2006/relationships/printerSettings" Target="../printerSettings/printerSettings280.bin"/><Relationship Id="rId22" Type="http://schemas.openxmlformats.org/officeDocument/2006/relationships/printerSettings" Target="../printerSettings/printerSettings288.bin"/><Relationship Id="rId27" Type="http://schemas.openxmlformats.org/officeDocument/2006/relationships/printerSettings" Target="../printerSettings/printerSettings293.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3.bin"/><Relationship Id="rId13" Type="http://schemas.openxmlformats.org/officeDocument/2006/relationships/printerSettings" Target="../printerSettings/printerSettings308.bin"/><Relationship Id="rId18" Type="http://schemas.openxmlformats.org/officeDocument/2006/relationships/printerSettings" Target="../printerSettings/printerSettings313.bin"/><Relationship Id="rId26" Type="http://schemas.openxmlformats.org/officeDocument/2006/relationships/printerSettings" Target="../printerSettings/printerSettings321.bin"/><Relationship Id="rId3" Type="http://schemas.openxmlformats.org/officeDocument/2006/relationships/printerSettings" Target="../printerSettings/printerSettings298.bin"/><Relationship Id="rId21" Type="http://schemas.openxmlformats.org/officeDocument/2006/relationships/printerSettings" Target="../printerSettings/printerSettings316.bin"/><Relationship Id="rId7" Type="http://schemas.openxmlformats.org/officeDocument/2006/relationships/printerSettings" Target="../printerSettings/printerSettings302.bin"/><Relationship Id="rId12" Type="http://schemas.openxmlformats.org/officeDocument/2006/relationships/printerSettings" Target="../printerSettings/printerSettings307.bin"/><Relationship Id="rId17" Type="http://schemas.openxmlformats.org/officeDocument/2006/relationships/printerSettings" Target="../printerSettings/printerSettings312.bin"/><Relationship Id="rId25" Type="http://schemas.openxmlformats.org/officeDocument/2006/relationships/printerSettings" Target="../printerSettings/printerSettings320.bin"/><Relationship Id="rId2" Type="http://schemas.openxmlformats.org/officeDocument/2006/relationships/printerSettings" Target="../printerSettings/printerSettings297.bin"/><Relationship Id="rId16" Type="http://schemas.openxmlformats.org/officeDocument/2006/relationships/printerSettings" Target="../printerSettings/printerSettings311.bin"/><Relationship Id="rId20" Type="http://schemas.openxmlformats.org/officeDocument/2006/relationships/printerSettings" Target="../printerSettings/printerSettings315.bin"/><Relationship Id="rId29" Type="http://schemas.openxmlformats.org/officeDocument/2006/relationships/printerSettings" Target="../printerSettings/printerSettings324.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11" Type="http://schemas.openxmlformats.org/officeDocument/2006/relationships/printerSettings" Target="../printerSettings/printerSettings306.bin"/><Relationship Id="rId24" Type="http://schemas.openxmlformats.org/officeDocument/2006/relationships/printerSettings" Target="../printerSettings/printerSettings319.bin"/><Relationship Id="rId5" Type="http://schemas.openxmlformats.org/officeDocument/2006/relationships/printerSettings" Target="../printerSettings/printerSettings300.bin"/><Relationship Id="rId15" Type="http://schemas.openxmlformats.org/officeDocument/2006/relationships/printerSettings" Target="../printerSettings/printerSettings310.bin"/><Relationship Id="rId23" Type="http://schemas.openxmlformats.org/officeDocument/2006/relationships/printerSettings" Target="../printerSettings/printerSettings318.bin"/><Relationship Id="rId28" Type="http://schemas.openxmlformats.org/officeDocument/2006/relationships/printerSettings" Target="../printerSettings/printerSettings323.bin"/><Relationship Id="rId10" Type="http://schemas.openxmlformats.org/officeDocument/2006/relationships/printerSettings" Target="../printerSettings/printerSettings305.bin"/><Relationship Id="rId19" Type="http://schemas.openxmlformats.org/officeDocument/2006/relationships/printerSettings" Target="../printerSettings/printerSettings314.bin"/><Relationship Id="rId4" Type="http://schemas.openxmlformats.org/officeDocument/2006/relationships/printerSettings" Target="../printerSettings/printerSettings299.bin"/><Relationship Id="rId9" Type="http://schemas.openxmlformats.org/officeDocument/2006/relationships/printerSettings" Target="../printerSettings/printerSettings304.bin"/><Relationship Id="rId14" Type="http://schemas.openxmlformats.org/officeDocument/2006/relationships/printerSettings" Target="../printerSettings/printerSettings309.bin"/><Relationship Id="rId22" Type="http://schemas.openxmlformats.org/officeDocument/2006/relationships/printerSettings" Target="../printerSettings/printerSettings317.bin"/><Relationship Id="rId27" Type="http://schemas.openxmlformats.org/officeDocument/2006/relationships/printerSettings" Target="../printerSettings/printerSettings322.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1.bin"/><Relationship Id="rId13" Type="http://schemas.openxmlformats.org/officeDocument/2006/relationships/printerSettings" Target="../printerSettings/printerSettings366.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12" Type="http://schemas.openxmlformats.org/officeDocument/2006/relationships/printerSettings" Target="../printerSettings/printerSettings365.bin"/><Relationship Id="rId2" Type="http://schemas.openxmlformats.org/officeDocument/2006/relationships/printerSettings" Target="../printerSettings/printerSettings355.bin"/><Relationship Id="rId16" Type="http://schemas.openxmlformats.org/officeDocument/2006/relationships/comments" Target="../comments3.xml"/><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11" Type="http://schemas.openxmlformats.org/officeDocument/2006/relationships/printerSettings" Target="../printerSettings/printerSettings364.bin"/><Relationship Id="rId5" Type="http://schemas.openxmlformats.org/officeDocument/2006/relationships/printerSettings" Target="../printerSettings/printerSettings358.bin"/><Relationship Id="rId15" Type="http://schemas.openxmlformats.org/officeDocument/2006/relationships/vmlDrawing" Target="../drawings/vmlDrawing3.vml"/><Relationship Id="rId10" Type="http://schemas.openxmlformats.org/officeDocument/2006/relationships/printerSettings" Target="../printerSettings/printerSettings363.bin"/><Relationship Id="rId4" Type="http://schemas.openxmlformats.org/officeDocument/2006/relationships/printerSettings" Target="../printerSettings/printerSettings357.bin"/><Relationship Id="rId9" Type="http://schemas.openxmlformats.org/officeDocument/2006/relationships/printerSettings" Target="../printerSettings/printerSettings362.bin"/><Relationship Id="rId14" Type="http://schemas.openxmlformats.org/officeDocument/2006/relationships/printerSettings" Target="../printerSettings/printerSettings367.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26" Type="http://schemas.openxmlformats.org/officeDocument/2006/relationships/printerSettings" Target="../printerSettings/printerSettings393.bin"/><Relationship Id="rId3" Type="http://schemas.openxmlformats.org/officeDocument/2006/relationships/printerSettings" Target="../printerSettings/printerSettings370.bin"/><Relationship Id="rId21" Type="http://schemas.openxmlformats.org/officeDocument/2006/relationships/printerSettings" Target="../printerSettings/printerSettings388.bin"/><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5" Type="http://schemas.openxmlformats.org/officeDocument/2006/relationships/printerSettings" Target="../printerSettings/printerSettings392.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29" Type="http://schemas.openxmlformats.org/officeDocument/2006/relationships/printerSettings" Target="../printerSettings/printerSettings396.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24" Type="http://schemas.openxmlformats.org/officeDocument/2006/relationships/printerSettings" Target="../printerSettings/printerSettings391.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printerSettings" Target="../printerSettings/printerSettings390.bin"/><Relationship Id="rId28" Type="http://schemas.openxmlformats.org/officeDocument/2006/relationships/printerSettings" Target="../printerSettings/printerSettings395.bin"/><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9.bin"/><Relationship Id="rId27" Type="http://schemas.openxmlformats.org/officeDocument/2006/relationships/printerSettings" Target="../printerSettings/printerSettings39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3.bin"/><Relationship Id="rId13" Type="http://schemas.openxmlformats.org/officeDocument/2006/relationships/printerSettings" Target="../printerSettings/printerSettings438.bin"/><Relationship Id="rId18" Type="http://schemas.openxmlformats.org/officeDocument/2006/relationships/printerSettings" Target="../printerSettings/printerSettings443.bin"/><Relationship Id="rId26" Type="http://schemas.openxmlformats.org/officeDocument/2006/relationships/printerSettings" Target="../printerSettings/printerSettings451.bin"/><Relationship Id="rId3" Type="http://schemas.openxmlformats.org/officeDocument/2006/relationships/printerSettings" Target="../printerSettings/printerSettings428.bin"/><Relationship Id="rId21" Type="http://schemas.openxmlformats.org/officeDocument/2006/relationships/printerSettings" Target="../printerSettings/printerSettings446.bin"/><Relationship Id="rId7" Type="http://schemas.openxmlformats.org/officeDocument/2006/relationships/printerSettings" Target="../printerSettings/printerSettings432.bin"/><Relationship Id="rId12" Type="http://schemas.openxmlformats.org/officeDocument/2006/relationships/printerSettings" Target="../printerSettings/printerSettings437.bin"/><Relationship Id="rId17" Type="http://schemas.openxmlformats.org/officeDocument/2006/relationships/printerSettings" Target="../printerSettings/printerSettings442.bin"/><Relationship Id="rId25" Type="http://schemas.openxmlformats.org/officeDocument/2006/relationships/printerSettings" Target="../printerSettings/printerSettings450.bin"/><Relationship Id="rId2" Type="http://schemas.openxmlformats.org/officeDocument/2006/relationships/printerSettings" Target="../printerSettings/printerSettings427.bin"/><Relationship Id="rId16" Type="http://schemas.openxmlformats.org/officeDocument/2006/relationships/printerSettings" Target="../printerSettings/printerSettings441.bin"/><Relationship Id="rId20" Type="http://schemas.openxmlformats.org/officeDocument/2006/relationships/printerSettings" Target="../printerSettings/printerSettings445.bin"/><Relationship Id="rId29" Type="http://schemas.openxmlformats.org/officeDocument/2006/relationships/printerSettings" Target="../printerSettings/printerSettings454.bin"/><Relationship Id="rId1" Type="http://schemas.openxmlformats.org/officeDocument/2006/relationships/printerSettings" Target="../printerSettings/printerSettings426.bin"/><Relationship Id="rId6" Type="http://schemas.openxmlformats.org/officeDocument/2006/relationships/printerSettings" Target="../printerSettings/printerSettings431.bin"/><Relationship Id="rId11" Type="http://schemas.openxmlformats.org/officeDocument/2006/relationships/printerSettings" Target="../printerSettings/printerSettings436.bin"/><Relationship Id="rId24" Type="http://schemas.openxmlformats.org/officeDocument/2006/relationships/printerSettings" Target="../printerSettings/printerSettings449.bin"/><Relationship Id="rId5" Type="http://schemas.openxmlformats.org/officeDocument/2006/relationships/printerSettings" Target="../printerSettings/printerSettings430.bin"/><Relationship Id="rId15" Type="http://schemas.openxmlformats.org/officeDocument/2006/relationships/printerSettings" Target="../printerSettings/printerSettings440.bin"/><Relationship Id="rId23" Type="http://schemas.openxmlformats.org/officeDocument/2006/relationships/printerSettings" Target="../printerSettings/printerSettings448.bin"/><Relationship Id="rId28" Type="http://schemas.openxmlformats.org/officeDocument/2006/relationships/printerSettings" Target="../printerSettings/printerSettings453.bin"/><Relationship Id="rId10" Type="http://schemas.openxmlformats.org/officeDocument/2006/relationships/printerSettings" Target="../printerSettings/printerSettings435.bin"/><Relationship Id="rId19" Type="http://schemas.openxmlformats.org/officeDocument/2006/relationships/printerSettings" Target="../printerSettings/printerSettings444.bin"/><Relationship Id="rId4" Type="http://schemas.openxmlformats.org/officeDocument/2006/relationships/printerSettings" Target="../printerSettings/printerSettings429.bin"/><Relationship Id="rId9" Type="http://schemas.openxmlformats.org/officeDocument/2006/relationships/printerSettings" Target="../printerSettings/printerSettings434.bin"/><Relationship Id="rId14" Type="http://schemas.openxmlformats.org/officeDocument/2006/relationships/printerSettings" Target="../printerSettings/printerSettings439.bin"/><Relationship Id="rId22" Type="http://schemas.openxmlformats.org/officeDocument/2006/relationships/printerSettings" Target="../printerSettings/printerSettings447.bin"/><Relationship Id="rId27" Type="http://schemas.openxmlformats.org/officeDocument/2006/relationships/printerSettings" Target="../printerSettings/printerSettings45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18" Type="http://schemas.openxmlformats.org/officeDocument/2006/relationships/printerSettings" Target="../printerSettings/printerSettings51.bin"/><Relationship Id="rId26" Type="http://schemas.openxmlformats.org/officeDocument/2006/relationships/printerSettings" Target="../printerSettings/printerSettings59.bin"/><Relationship Id="rId3" Type="http://schemas.openxmlformats.org/officeDocument/2006/relationships/printerSettings" Target="../printerSettings/printerSettings36.bin"/><Relationship Id="rId21" Type="http://schemas.openxmlformats.org/officeDocument/2006/relationships/printerSettings" Target="../printerSettings/printerSettings54.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printerSettings" Target="../printerSettings/printerSettings50.bin"/><Relationship Id="rId25" Type="http://schemas.openxmlformats.org/officeDocument/2006/relationships/printerSettings" Target="../printerSettings/printerSettings58.bin"/><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20" Type="http://schemas.openxmlformats.org/officeDocument/2006/relationships/printerSettings" Target="../printerSettings/printerSettings53.bin"/><Relationship Id="rId29" Type="http://schemas.openxmlformats.org/officeDocument/2006/relationships/printerSettings" Target="../printerSettings/printerSettings62.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24" Type="http://schemas.openxmlformats.org/officeDocument/2006/relationships/printerSettings" Target="../printerSettings/printerSettings57.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23" Type="http://schemas.openxmlformats.org/officeDocument/2006/relationships/printerSettings" Target="../printerSettings/printerSettings56.bin"/><Relationship Id="rId28" Type="http://schemas.openxmlformats.org/officeDocument/2006/relationships/printerSettings" Target="../printerSettings/printerSettings61.bin"/><Relationship Id="rId10" Type="http://schemas.openxmlformats.org/officeDocument/2006/relationships/printerSettings" Target="../printerSettings/printerSettings43.bin"/><Relationship Id="rId19" Type="http://schemas.openxmlformats.org/officeDocument/2006/relationships/printerSettings" Target="../printerSettings/printerSettings52.bin"/><Relationship Id="rId31" Type="http://schemas.openxmlformats.org/officeDocument/2006/relationships/comments" Target="../comments1.xml"/><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 Id="rId22" Type="http://schemas.openxmlformats.org/officeDocument/2006/relationships/printerSettings" Target="../printerSettings/printerSettings55.bin"/><Relationship Id="rId27" Type="http://schemas.openxmlformats.org/officeDocument/2006/relationships/printerSettings" Target="../printerSettings/printerSettings60.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26" Type="http://schemas.openxmlformats.org/officeDocument/2006/relationships/printerSettings" Target="../printerSettings/printerSettings88.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5" Type="http://schemas.openxmlformats.org/officeDocument/2006/relationships/printerSettings" Target="../printerSettings/printerSettings87.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29" Type="http://schemas.openxmlformats.org/officeDocument/2006/relationships/printerSettings" Target="../printerSettings/printerSettings91.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28" Type="http://schemas.openxmlformats.org/officeDocument/2006/relationships/printerSettings" Target="../printerSettings/printerSettings90.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 Id="rId27" Type="http://schemas.openxmlformats.org/officeDocument/2006/relationships/printerSettings" Target="../printerSettings/printerSettings8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9.bin"/><Relationship Id="rId13" Type="http://schemas.openxmlformats.org/officeDocument/2006/relationships/printerSettings" Target="../printerSettings/printerSettings104.bin"/><Relationship Id="rId18" Type="http://schemas.openxmlformats.org/officeDocument/2006/relationships/printerSettings" Target="../printerSettings/printerSettings109.bin"/><Relationship Id="rId26" Type="http://schemas.openxmlformats.org/officeDocument/2006/relationships/printerSettings" Target="../printerSettings/printerSettings117.bin"/><Relationship Id="rId3" Type="http://schemas.openxmlformats.org/officeDocument/2006/relationships/printerSettings" Target="../printerSettings/printerSettings94.bin"/><Relationship Id="rId21" Type="http://schemas.openxmlformats.org/officeDocument/2006/relationships/printerSettings" Target="../printerSettings/printerSettings112.bin"/><Relationship Id="rId7" Type="http://schemas.openxmlformats.org/officeDocument/2006/relationships/printerSettings" Target="../printerSettings/printerSettings98.bin"/><Relationship Id="rId12" Type="http://schemas.openxmlformats.org/officeDocument/2006/relationships/printerSettings" Target="../printerSettings/printerSettings103.bin"/><Relationship Id="rId17" Type="http://schemas.openxmlformats.org/officeDocument/2006/relationships/printerSettings" Target="../printerSettings/printerSettings108.bin"/><Relationship Id="rId25" Type="http://schemas.openxmlformats.org/officeDocument/2006/relationships/printerSettings" Target="../printerSettings/printerSettings116.bin"/><Relationship Id="rId2" Type="http://schemas.openxmlformats.org/officeDocument/2006/relationships/printerSettings" Target="../printerSettings/printerSettings93.bin"/><Relationship Id="rId16" Type="http://schemas.openxmlformats.org/officeDocument/2006/relationships/printerSettings" Target="../printerSettings/printerSettings107.bin"/><Relationship Id="rId20" Type="http://schemas.openxmlformats.org/officeDocument/2006/relationships/printerSettings" Target="../printerSettings/printerSettings111.bin"/><Relationship Id="rId29" Type="http://schemas.openxmlformats.org/officeDocument/2006/relationships/printerSettings" Target="../printerSettings/printerSettings120.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11" Type="http://schemas.openxmlformats.org/officeDocument/2006/relationships/printerSettings" Target="../printerSettings/printerSettings102.bin"/><Relationship Id="rId24" Type="http://schemas.openxmlformats.org/officeDocument/2006/relationships/printerSettings" Target="../printerSettings/printerSettings115.bin"/><Relationship Id="rId5" Type="http://schemas.openxmlformats.org/officeDocument/2006/relationships/printerSettings" Target="../printerSettings/printerSettings96.bin"/><Relationship Id="rId15" Type="http://schemas.openxmlformats.org/officeDocument/2006/relationships/printerSettings" Target="../printerSettings/printerSettings106.bin"/><Relationship Id="rId23" Type="http://schemas.openxmlformats.org/officeDocument/2006/relationships/printerSettings" Target="../printerSettings/printerSettings114.bin"/><Relationship Id="rId28" Type="http://schemas.openxmlformats.org/officeDocument/2006/relationships/printerSettings" Target="../printerSettings/printerSettings119.bin"/><Relationship Id="rId10" Type="http://schemas.openxmlformats.org/officeDocument/2006/relationships/printerSettings" Target="../printerSettings/printerSettings101.bin"/><Relationship Id="rId19" Type="http://schemas.openxmlformats.org/officeDocument/2006/relationships/printerSettings" Target="../printerSettings/printerSettings110.bin"/><Relationship Id="rId4" Type="http://schemas.openxmlformats.org/officeDocument/2006/relationships/printerSettings" Target="../printerSettings/printerSettings95.bin"/><Relationship Id="rId9" Type="http://schemas.openxmlformats.org/officeDocument/2006/relationships/printerSettings" Target="../printerSettings/printerSettings100.bin"/><Relationship Id="rId14" Type="http://schemas.openxmlformats.org/officeDocument/2006/relationships/printerSettings" Target="../printerSettings/printerSettings105.bin"/><Relationship Id="rId22" Type="http://schemas.openxmlformats.org/officeDocument/2006/relationships/printerSettings" Target="../printerSettings/printerSettings113.bin"/><Relationship Id="rId27" Type="http://schemas.openxmlformats.org/officeDocument/2006/relationships/printerSettings" Target="../printerSettings/printerSettings11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26" Type="http://schemas.openxmlformats.org/officeDocument/2006/relationships/printerSettings" Target="../printerSettings/printerSettings146.bin"/><Relationship Id="rId3" Type="http://schemas.openxmlformats.org/officeDocument/2006/relationships/printerSettings" Target="../printerSettings/printerSettings123.bin"/><Relationship Id="rId21" Type="http://schemas.openxmlformats.org/officeDocument/2006/relationships/printerSettings" Target="../printerSettings/printerSettings141.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5" Type="http://schemas.openxmlformats.org/officeDocument/2006/relationships/printerSettings" Target="../printerSettings/printerSettings145.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29" Type="http://schemas.openxmlformats.org/officeDocument/2006/relationships/printerSettings" Target="../printerSettings/printerSettings149.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24" Type="http://schemas.openxmlformats.org/officeDocument/2006/relationships/printerSettings" Target="../printerSettings/printerSettings144.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23" Type="http://schemas.openxmlformats.org/officeDocument/2006/relationships/printerSettings" Target="../printerSettings/printerSettings143.bin"/><Relationship Id="rId28" Type="http://schemas.openxmlformats.org/officeDocument/2006/relationships/printerSettings" Target="../printerSettings/printerSettings148.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 Id="rId22" Type="http://schemas.openxmlformats.org/officeDocument/2006/relationships/printerSettings" Target="../printerSettings/printerSettings142.bin"/><Relationship Id="rId27" Type="http://schemas.openxmlformats.org/officeDocument/2006/relationships/printerSettings" Target="../printerSettings/printerSettings1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8.bin"/><Relationship Id="rId13" Type="http://schemas.openxmlformats.org/officeDocument/2006/relationships/printerSettings" Target="../printerSettings/printerSettings163.bin"/><Relationship Id="rId18" Type="http://schemas.openxmlformats.org/officeDocument/2006/relationships/printerSettings" Target="../printerSettings/printerSettings168.bin"/><Relationship Id="rId26" Type="http://schemas.openxmlformats.org/officeDocument/2006/relationships/printerSettings" Target="../printerSettings/printerSettings176.bin"/><Relationship Id="rId3" Type="http://schemas.openxmlformats.org/officeDocument/2006/relationships/printerSettings" Target="../printerSettings/printerSettings153.bin"/><Relationship Id="rId21" Type="http://schemas.openxmlformats.org/officeDocument/2006/relationships/printerSettings" Target="../printerSettings/printerSettings171.bin"/><Relationship Id="rId7" Type="http://schemas.openxmlformats.org/officeDocument/2006/relationships/printerSettings" Target="../printerSettings/printerSettings157.bin"/><Relationship Id="rId12" Type="http://schemas.openxmlformats.org/officeDocument/2006/relationships/printerSettings" Target="../printerSettings/printerSettings162.bin"/><Relationship Id="rId17" Type="http://schemas.openxmlformats.org/officeDocument/2006/relationships/printerSettings" Target="../printerSettings/printerSettings167.bin"/><Relationship Id="rId25" Type="http://schemas.openxmlformats.org/officeDocument/2006/relationships/printerSettings" Target="../printerSettings/printerSettings175.bin"/><Relationship Id="rId2" Type="http://schemas.openxmlformats.org/officeDocument/2006/relationships/printerSettings" Target="../printerSettings/printerSettings152.bin"/><Relationship Id="rId16" Type="http://schemas.openxmlformats.org/officeDocument/2006/relationships/printerSettings" Target="../printerSettings/printerSettings166.bin"/><Relationship Id="rId20" Type="http://schemas.openxmlformats.org/officeDocument/2006/relationships/printerSettings" Target="../printerSettings/printerSettings170.bin"/><Relationship Id="rId29" Type="http://schemas.openxmlformats.org/officeDocument/2006/relationships/printerSettings" Target="../printerSettings/printerSettings179.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11" Type="http://schemas.openxmlformats.org/officeDocument/2006/relationships/printerSettings" Target="../printerSettings/printerSettings161.bin"/><Relationship Id="rId24" Type="http://schemas.openxmlformats.org/officeDocument/2006/relationships/printerSettings" Target="../printerSettings/printerSettings174.bin"/><Relationship Id="rId5" Type="http://schemas.openxmlformats.org/officeDocument/2006/relationships/printerSettings" Target="../printerSettings/printerSettings155.bin"/><Relationship Id="rId15" Type="http://schemas.openxmlformats.org/officeDocument/2006/relationships/printerSettings" Target="../printerSettings/printerSettings165.bin"/><Relationship Id="rId23" Type="http://schemas.openxmlformats.org/officeDocument/2006/relationships/printerSettings" Target="../printerSettings/printerSettings173.bin"/><Relationship Id="rId28" Type="http://schemas.openxmlformats.org/officeDocument/2006/relationships/printerSettings" Target="../printerSettings/printerSettings178.bin"/><Relationship Id="rId10" Type="http://schemas.openxmlformats.org/officeDocument/2006/relationships/printerSettings" Target="../printerSettings/printerSettings160.bin"/><Relationship Id="rId19" Type="http://schemas.openxmlformats.org/officeDocument/2006/relationships/printerSettings" Target="../printerSettings/printerSettings169.bin"/><Relationship Id="rId4" Type="http://schemas.openxmlformats.org/officeDocument/2006/relationships/printerSettings" Target="../printerSettings/printerSettings154.bin"/><Relationship Id="rId9" Type="http://schemas.openxmlformats.org/officeDocument/2006/relationships/printerSettings" Target="../printerSettings/printerSettings159.bin"/><Relationship Id="rId14" Type="http://schemas.openxmlformats.org/officeDocument/2006/relationships/printerSettings" Target="../printerSettings/printerSettings164.bin"/><Relationship Id="rId22" Type="http://schemas.openxmlformats.org/officeDocument/2006/relationships/printerSettings" Target="../printerSettings/printerSettings172.bin"/><Relationship Id="rId27"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7.bin"/><Relationship Id="rId13" Type="http://schemas.openxmlformats.org/officeDocument/2006/relationships/printerSettings" Target="../printerSettings/printerSettings192.bin"/><Relationship Id="rId18" Type="http://schemas.openxmlformats.org/officeDocument/2006/relationships/printerSettings" Target="../printerSettings/printerSettings197.bin"/><Relationship Id="rId26" Type="http://schemas.openxmlformats.org/officeDocument/2006/relationships/printerSettings" Target="../printerSettings/printerSettings205.bin"/><Relationship Id="rId3" Type="http://schemas.openxmlformats.org/officeDocument/2006/relationships/printerSettings" Target="../printerSettings/printerSettings182.bin"/><Relationship Id="rId21" Type="http://schemas.openxmlformats.org/officeDocument/2006/relationships/printerSettings" Target="../printerSettings/printerSettings200.bin"/><Relationship Id="rId7" Type="http://schemas.openxmlformats.org/officeDocument/2006/relationships/printerSettings" Target="../printerSettings/printerSettings186.bin"/><Relationship Id="rId12" Type="http://schemas.openxmlformats.org/officeDocument/2006/relationships/printerSettings" Target="../printerSettings/printerSettings191.bin"/><Relationship Id="rId17" Type="http://schemas.openxmlformats.org/officeDocument/2006/relationships/printerSettings" Target="../printerSettings/printerSettings196.bin"/><Relationship Id="rId25" Type="http://schemas.openxmlformats.org/officeDocument/2006/relationships/printerSettings" Target="../printerSettings/printerSettings204.bin"/><Relationship Id="rId2" Type="http://schemas.openxmlformats.org/officeDocument/2006/relationships/printerSettings" Target="../printerSettings/printerSettings181.bin"/><Relationship Id="rId16" Type="http://schemas.openxmlformats.org/officeDocument/2006/relationships/printerSettings" Target="../printerSettings/printerSettings195.bin"/><Relationship Id="rId20" Type="http://schemas.openxmlformats.org/officeDocument/2006/relationships/printerSettings" Target="../printerSettings/printerSettings199.bin"/><Relationship Id="rId29" Type="http://schemas.openxmlformats.org/officeDocument/2006/relationships/printerSettings" Target="../printerSettings/printerSettings208.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11" Type="http://schemas.openxmlformats.org/officeDocument/2006/relationships/printerSettings" Target="../printerSettings/printerSettings190.bin"/><Relationship Id="rId24" Type="http://schemas.openxmlformats.org/officeDocument/2006/relationships/printerSettings" Target="../printerSettings/printerSettings203.bin"/><Relationship Id="rId5" Type="http://schemas.openxmlformats.org/officeDocument/2006/relationships/printerSettings" Target="../printerSettings/printerSettings184.bin"/><Relationship Id="rId15" Type="http://schemas.openxmlformats.org/officeDocument/2006/relationships/printerSettings" Target="../printerSettings/printerSettings194.bin"/><Relationship Id="rId23" Type="http://schemas.openxmlformats.org/officeDocument/2006/relationships/printerSettings" Target="../printerSettings/printerSettings202.bin"/><Relationship Id="rId28" Type="http://schemas.openxmlformats.org/officeDocument/2006/relationships/printerSettings" Target="../printerSettings/printerSettings207.bin"/><Relationship Id="rId10" Type="http://schemas.openxmlformats.org/officeDocument/2006/relationships/printerSettings" Target="../printerSettings/printerSettings189.bin"/><Relationship Id="rId19" Type="http://schemas.openxmlformats.org/officeDocument/2006/relationships/printerSettings" Target="../printerSettings/printerSettings198.bin"/><Relationship Id="rId4" Type="http://schemas.openxmlformats.org/officeDocument/2006/relationships/printerSettings" Target="../printerSettings/printerSettings183.bin"/><Relationship Id="rId9" Type="http://schemas.openxmlformats.org/officeDocument/2006/relationships/printerSettings" Target="../printerSettings/printerSettings188.bin"/><Relationship Id="rId14" Type="http://schemas.openxmlformats.org/officeDocument/2006/relationships/printerSettings" Target="../printerSettings/printerSettings193.bin"/><Relationship Id="rId22" Type="http://schemas.openxmlformats.org/officeDocument/2006/relationships/printerSettings" Target="../printerSettings/printerSettings201.bin"/><Relationship Id="rId27" Type="http://schemas.openxmlformats.org/officeDocument/2006/relationships/printerSettings" Target="../printerSettings/printerSettings20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95"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27" customHeight="1" x14ac:dyDescent="0.25">
      <c r="A3" s="55"/>
      <c r="B3" s="55"/>
      <c r="C3" s="567" t="s">
        <v>237</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6"/>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559" t="s">
        <v>23</v>
      </c>
      <c r="C8" s="123" t="s">
        <v>20</v>
      </c>
      <c r="D8" s="70">
        <f>D9+D10+D12+D11</f>
        <v>5295737.1496099997</v>
      </c>
      <c r="E8" s="70">
        <f>E9+E10+E12+E11</f>
        <v>4211507.1925400002</v>
      </c>
      <c r="F8" s="70">
        <f t="shared" ref="F8:G8" si="0">F9+F10+F12+F11</f>
        <v>3525942.2140210001</v>
      </c>
      <c r="G8" s="70">
        <f t="shared" si="0"/>
        <v>3525942.2140210001</v>
      </c>
      <c r="H8" s="70">
        <f>IFERROR(G8/D8*100,0)</f>
        <v>66.580763251829168</v>
      </c>
      <c r="I8" s="70">
        <f>IFERROR(G8/E8*100,0)</f>
        <v>83.721623941819047</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559888.04827000003</v>
      </c>
      <c r="W8" s="71">
        <f t="shared" si="1"/>
        <v>554335.06000000006</v>
      </c>
      <c r="X8" s="71">
        <f t="shared" si="1"/>
        <v>365830.97390999994</v>
      </c>
      <c r="Y8" s="71">
        <f t="shared" si="1"/>
        <v>216135.01</v>
      </c>
      <c r="Z8" s="71">
        <f t="shared" si="1"/>
        <v>566645.27800000005</v>
      </c>
      <c r="AA8" s="71">
        <f t="shared" si="1"/>
        <v>331554.67641000001</v>
      </c>
      <c r="AB8" s="71">
        <f t="shared" si="1"/>
        <v>471138.34621999995</v>
      </c>
      <c r="AC8" s="71">
        <f t="shared" si="1"/>
        <v>258905.49</v>
      </c>
      <c r="AD8" s="71">
        <f t="shared" si="1"/>
        <v>384572.41707000002</v>
      </c>
      <c r="AE8" s="71">
        <f t="shared" si="1"/>
        <v>0</v>
      </c>
      <c r="AF8" s="71">
        <f t="shared" si="1"/>
        <v>699657.54</v>
      </c>
      <c r="AG8" s="71">
        <f t="shared" si="1"/>
        <v>0</v>
      </c>
      <c r="AH8" s="72"/>
    </row>
    <row r="9" spans="1:35" s="26" customFormat="1" ht="26.25" customHeight="1" x14ac:dyDescent="0.25">
      <c r="A9" s="557"/>
      <c r="B9" s="560"/>
      <c r="C9" s="124" t="s">
        <v>52</v>
      </c>
      <c r="D9" s="74">
        <f>J9+L9+N9+P9+R9+T9+V9+X9+Z9+AB9+AD9+AF9</f>
        <v>144798.79300000001</v>
      </c>
      <c r="E9" s="74">
        <f>J9+L9+N9+P9+R9+T9+V9+X9+Z9+AB9</f>
        <v>119204.077</v>
      </c>
      <c r="F9" s="74">
        <f>G9</f>
        <v>105113.96000000002</v>
      </c>
      <c r="G9" s="74">
        <f>K9+M9+O9+Q9+S9+U9+W9+Y9+AA9+AC9+AE9+AG9</f>
        <v>105113.96000000002</v>
      </c>
      <c r="H9" s="74">
        <f t="shared" ref="H9" si="2">IFERROR(G9/D9*100,0)</f>
        <v>72.593118921923633</v>
      </c>
      <c r="I9" s="74">
        <f t="shared" ref="I9" si="3">IFERROR(G9/E9*100,0)</f>
        <v>88.179836332275798</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5859.11</v>
      </c>
      <c r="AB9" s="74">
        <f t="shared" si="4"/>
        <v>12168.909</v>
      </c>
      <c r="AC9" s="74">
        <f t="shared" si="4"/>
        <v>8268.6500000000015</v>
      </c>
      <c r="AD9" s="74">
        <f t="shared" si="4"/>
        <v>11944.182999999999</v>
      </c>
      <c r="AE9" s="74">
        <f t="shared" si="4"/>
        <v>0</v>
      </c>
      <c r="AF9" s="74">
        <f t="shared" si="4"/>
        <v>13650.532999999999</v>
      </c>
      <c r="AG9" s="74">
        <f t="shared" si="4"/>
        <v>0</v>
      </c>
      <c r="AH9" s="75"/>
    </row>
    <row r="10" spans="1:35" s="26" customFormat="1" ht="40.5" customHeight="1" x14ac:dyDescent="0.25">
      <c r="A10" s="557"/>
      <c r="B10" s="560"/>
      <c r="C10" s="124" t="s">
        <v>22</v>
      </c>
      <c r="D10" s="74">
        <f>J10+L10+N10+P10+R10+T10+V10+X10+Z10+AB10+AD10+AF10</f>
        <v>4054181.1825000001</v>
      </c>
      <c r="E10" s="74">
        <f t="shared" ref="E10:E12" si="5">J10+L10+N10+P10+R10+T10+V10+X10+Z10+AB10</f>
        <v>3173568.2240399998</v>
      </c>
      <c r="F10" s="74">
        <f t="shared" ref="F10:F12" si="6">G10</f>
        <v>2631286.819741</v>
      </c>
      <c r="G10" s="74">
        <f t="shared" ref="G10:G12" si="7">K10+M10+O10+Q10+S10+U10+W10+Y10+AA10+AC10+AE10+AG10</f>
        <v>2631286.819741</v>
      </c>
      <c r="H10" s="74">
        <f>IFERROR(G10/D10*100,0)</f>
        <v>64.903039634711732</v>
      </c>
      <c r="I10" s="74">
        <f>IFERROR(G10/E10*100,0)</f>
        <v>82.91256509971393</v>
      </c>
      <c r="J10" s="74">
        <f t="shared" ref="J10:AG10" si="8">J16+J21+J35+J74+J111</f>
        <v>206861.334</v>
      </c>
      <c r="K10" s="74">
        <f t="shared" si="8"/>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468318.23171000002</v>
      </c>
      <c r="W10" s="74">
        <f t="shared" si="8"/>
        <v>467254.35000000003</v>
      </c>
      <c r="X10" s="74">
        <f t="shared" si="8"/>
        <v>256045.32690999997</v>
      </c>
      <c r="Y10" s="74">
        <f t="shared" si="8"/>
        <v>159707.62</v>
      </c>
      <c r="Z10" s="74">
        <f t="shared" si="8"/>
        <v>487937.34700000001</v>
      </c>
      <c r="AA10" s="74">
        <f t="shared" si="8"/>
        <v>289175.75</v>
      </c>
      <c r="AB10" s="74">
        <f t="shared" si="8"/>
        <v>377666.62799999997</v>
      </c>
      <c r="AC10" s="74">
        <f t="shared" si="8"/>
        <v>159008</v>
      </c>
      <c r="AD10" s="74">
        <f t="shared" si="8"/>
        <v>290308.66146000003</v>
      </c>
      <c r="AE10" s="74">
        <f t="shared" si="8"/>
        <v>0</v>
      </c>
      <c r="AF10" s="74">
        <f t="shared" si="8"/>
        <v>590304.29700000002</v>
      </c>
      <c r="AG10" s="74">
        <f t="shared" si="8"/>
        <v>0</v>
      </c>
      <c r="AH10" s="75"/>
    </row>
    <row r="11" spans="1:35" s="26" customFormat="1" ht="40.5" customHeight="1" x14ac:dyDescent="0.25">
      <c r="A11" s="557"/>
      <c r="B11" s="560"/>
      <c r="C11" s="124" t="s">
        <v>21</v>
      </c>
      <c r="D11" s="74">
        <f t="shared" ref="D11:D12" si="9">J11+L11+N11+P11+R11+T11+V11+X11+Z11+AB11+AD11+AF11</f>
        <v>976528.77610999998</v>
      </c>
      <c r="E11" s="74">
        <f t="shared" si="5"/>
        <v>806416.06349999993</v>
      </c>
      <c r="F11" s="74">
        <f t="shared" si="6"/>
        <v>691879.29628000013</v>
      </c>
      <c r="G11" s="74">
        <f t="shared" si="7"/>
        <v>691879.29628000013</v>
      </c>
      <c r="H11" s="74">
        <f>IFERROR(G11/D11*100,0)</f>
        <v>70.850886651400032</v>
      </c>
      <c r="I11" s="74">
        <f>IFERROR(G11/E11*100,0)</f>
        <v>85.79681477041909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80096.91</v>
      </c>
      <c r="X11" s="74">
        <f t="shared" si="10"/>
        <v>98491.84199999999</v>
      </c>
      <c r="Y11" s="74">
        <f t="shared" si="10"/>
        <v>46406.19</v>
      </c>
      <c r="Z11" s="74">
        <f t="shared" si="10"/>
        <v>60903.671999999991</v>
      </c>
      <c r="AA11" s="74">
        <f t="shared" si="10"/>
        <v>29355.74641</v>
      </c>
      <c r="AB11" s="74">
        <f t="shared" si="10"/>
        <v>74418.18922</v>
      </c>
      <c r="AC11" s="74">
        <f t="shared" si="10"/>
        <v>66108.12999999999</v>
      </c>
      <c r="AD11" s="74">
        <f t="shared" si="10"/>
        <v>76329.891610000006</v>
      </c>
      <c r="AE11" s="74">
        <f t="shared" si="10"/>
        <v>0</v>
      </c>
      <c r="AF11" s="74">
        <f t="shared" si="10"/>
        <v>93782.821000000011</v>
      </c>
      <c r="AG11" s="74">
        <f t="shared" si="10"/>
        <v>0</v>
      </c>
      <c r="AH11" s="75"/>
    </row>
    <row r="12" spans="1:35" s="26" customFormat="1" ht="34.5" customHeight="1" x14ac:dyDescent="0.25">
      <c r="A12" s="558"/>
      <c r="B12" s="561"/>
      <c r="C12" s="124" t="s">
        <v>113</v>
      </c>
      <c r="D12" s="74">
        <f t="shared" si="9"/>
        <v>120228.39799999999</v>
      </c>
      <c r="E12" s="74">
        <f t="shared" si="5"/>
        <v>112318.82799999999</v>
      </c>
      <c r="F12" s="74">
        <f t="shared" si="6"/>
        <v>97662.138000000006</v>
      </c>
      <c r="G12" s="74">
        <f t="shared" si="7"/>
        <v>97662.138000000006</v>
      </c>
      <c r="H12" s="74">
        <f>IFERROR(G12/D12*100,0)</f>
        <v>81.23050762100317</v>
      </c>
      <c r="I12" s="74">
        <f>IFERROR(G12/E12*100,0)</f>
        <v>86.950816473975323</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25520.71</v>
      </c>
      <c r="AD12" s="74">
        <f t="shared" si="11"/>
        <v>5989.6809999999996</v>
      </c>
      <c r="AE12" s="74">
        <f t="shared" si="11"/>
        <v>0</v>
      </c>
      <c r="AF12" s="74">
        <f t="shared" si="11"/>
        <v>1919.8890000000024</v>
      </c>
      <c r="AG12" s="74">
        <f t="shared" si="11"/>
        <v>0</v>
      </c>
      <c r="AH12" s="75"/>
    </row>
    <row r="13" spans="1:35" s="22" customFormat="1" ht="18.75" customHeight="1" x14ac:dyDescent="0.25">
      <c r="A13" s="66"/>
      <c r="B13" s="511" t="s">
        <v>238</v>
      </c>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3"/>
      <c r="AH13" s="64"/>
    </row>
    <row r="14" spans="1:35" s="21" customFormat="1" ht="23.25" customHeight="1" x14ac:dyDescent="0.25">
      <c r="A14" s="519" t="s">
        <v>50</v>
      </c>
      <c r="B14" s="525" t="s">
        <v>239</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520"/>
      <c r="B15" s="526"/>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520"/>
      <c r="B16" s="526"/>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473">
        <v>0</v>
      </c>
      <c r="K16" s="473">
        <v>0</v>
      </c>
      <c r="L16" s="473">
        <v>0</v>
      </c>
      <c r="M16" s="473">
        <v>0</v>
      </c>
      <c r="N16" s="474">
        <v>12482.68</v>
      </c>
      <c r="O16" s="474">
        <v>12482.677320000001</v>
      </c>
      <c r="P16" s="474">
        <v>16993.11</v>
      </c>
      <c r="Q16" s="474">
        <v>16396.66</v>
      </c>
      <c r="R16" s="474">
        <v>31623.8</v>
      </c>
      <c r="S16" s="474">
        <v>31623.8</v>
      </c>
      <c r="T16" s="474">
        <v>56369.256420000005</v>
      </c>
      <c r="U16" s="475">
        <v>56369.256420999998</v>
      </c>
      <c r="V16" s="474">
        <v>76838.384709999998</v>
      </c>
      <c r="W16" s="475">
        <v>77434.84</v>
      </c>
      <c r="X16" s="474">
        <v>154867.17090999999</v>
      </c>
      <c r="Y16" s="473">
        <v>97467.62</v>
      </c>
      <c r="Z16" s="474">
        <v>341272.63</v>
      </c>
      <c r="AA16" s="473">
        <v>174572.17</v>
      </c>
      <c r="AB16" s="474">
        <v>122999.03999999999</v>
      </c>
      <c r="AC16" s="474">
        <v>123104.1</v>
      </c>
      <c r="AD16" s="474">
        <v>150332.16246000002</v>
      </c>
      <c r="AE16" s="473">
        <v>0</v>
      </c>
      <c r="AF16" s="474">
        <v>329987.40000000002</v>
      </c>
      <c r="AG16" s="474"/>
      <c r="AH16" s="60"/>
      <c r="AI16" s="23"/>
    </row>
    <row r="17" spans="1:35" s="21" customFormat="1" ht="57" customHeight="1" x14ac:dyDescent="0.25">
      <c r="A17" s="520"/>
      <c r="B17" s="526"/>
      <c r="C17" s="126" t="s">
        <v>276</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521"/>
      <c r="B18" s="527"/>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476">
        <v>0</v>
      </c>
      <c r="K18" s="476">
        <v>0</v>
      </c>
      <c r="L18" s="476">
        <v>0</v>
      </c>
      <c r="M18" s="476">
        <v>0</v>
      </c>
      <c r="N18" s="477">
        <v>1386.96</v>
      </c>
      <c r="O18" s="477">
        <v>1386.96415</v>
      </c>
      <c r="P18" s="477">
        <v>1888.12</v>
      </c>
      <c r="Q18" s="477">
        <v>1821.85</v>
      </c>
      <c r="R18" s="477">
        <v>4745.29</v>
      </c>
      <c r="S18" s="477">
        <v>4745.29</v>
      </c>
      <c r="T18" s="477">
        <v>6263.25072</v>
      </c>
      <c r="U18" s="478">
        <v>6263.25072</v>
      </c>
      <c r="V18" s="477">
        <v>19367.333559999999</v>
      </c>
      <c r="W18" s="478">
        <v>19433.61</v>
      </c>
      <c r="X18" s="477">
        <v>19396.909</v>
      </c>
      <c r="Y18" s="476">
        <v>19396.91</v>
      </c>
      <c r="Z18" s="477">
        <v>24908.13</v>
      </c>
      <c r="AA18" s="476">
        <v>8.1264099999999999</v>
      </c>
      <c r="AB18" s="477">
        <v>13666.560220000001</v>
      </c>
      <c r="AC18" s="477">
        <v>13678.23</v>
      </c>
      <c r="AD18" s="477">
        <v>16703.573609999999</v>
      </c>
      <c r="AE18" s="476">
        <v>0</v>
      </c>
      <c r="AF18" s="477">
        <v>42727.96</v>
      </c>
      <c r="AG18" s="477"/>
      <c r="AH18" s="64" t="s">
        <v>350</v>
      </c>
      <c r="AI18" s="20"/>
    </row>
    <row r="19" spans="1:35" s="22" customFormat="1" ht="27.75" customHeight="1" x14ac:dyDescent="0.25">
      <c r="A19" s="547" t="s">
        <v>76</v>
      </c>
      <c r="B19" s="525" t="s">
        <v>240</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548"/>
      <c r="B20" s="526"/>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548"/>
      <c r="B21" s="526"/>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520"/>
      <c r="B22" s="526"/>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549"/>
      <c r="B23" s="545" t="s">
        <v>241</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356</v>
      </c>
      <c r="AI23" s="20"/>
    </row>
    <row r="24" spans="1:35" s="22" customFormat="1" ht="22.5" customHeight="1" x14ac:dyDescent="0.25">
      <c r="A24" s="550"/>
      <c r="B24" s="546"/>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550"/>
      <c r="B25" s="546"/>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543"/>
      <c r="B26" s="546"/>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520"/>
      <c r="B27" s="510" t="s">
        <v>242</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356</v>
      </c>
      <c r="AI27" s="20"/>
    </row>
    <row r="28" spans="1:35" s="22" customFormat="1" ht="27" hidden="1" customHeight="1" x14ac:dyDescent="0.25">
      <c r="A28" s="520"/>
      <c r="B28" s="510"/>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521"/>
      <c r="B29" s="510"/>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542"/>
      <c r="B30" s="545" t="s">
        <v>243</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356</v>
      </c>
      <c r="AI30" s="20"/>
    </row>
    <row r="31" spans="1:35" s="22" customFormat="1" ht="96.75" customHeight="1" x14ac:dyDescent="0.25">
      <c r="A31" s="543"/>
      <c r="B31" s="546"/>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544"/>
      <c r="B32" s="546"/>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547" t="s">
        <v>37</v>
      </c>
      <c r="B33" s="525" t="s">
        <v>244</v>
      </c>
      <c r="C33" s="125" t="s">
        <v>20</v>
      </c>
      <c r="D33" s="70">
        <f>D37+D36+D34+D35</f>
        <v>3470905.7929999996</v>
      </c>
      <c r="E33" s="70">
        <f t="shared" ref="E33:G33" si="59">E37+E36+E34+E35</f>
        <v>2966057.6129999999</v>
      </c>
      <c r="F33" s="70">
        <f t="shared" si="59"/>
        <v>2635844.6609999998</v>
      </c>
      <c r="G33" s="70">
        <f t="shared" si="59"/>
        <v>2635844.6609999998</v>
      </c>
      <c r="H33" s="58">
        <f t="shared" ref="H33:H35" si="60">IFERROR(G33/D33*100,0)</f>
        <v>75.941117915556177</v>
      </c>
      <c r="I33" s="58">
        <f t="shared" ref="I33:I35" si="61">IFERROR(G33/E33*100,0)</f>
        <v>88.866940731268926</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447515.99300000002</v>
      </c>
      <c r="W33" s="59">
        <f t="shared" si="62"/>
        <v>444624.18</v>
      </c>
      <c r="X33" s="59">
        <f t="shared" si="62"/>
        <v>129084.80099999999</v>
      </c>
      <c r="Y33" s="59">
        <f t="shared" si="62"/>
        <v>90196.14</v>
      </c>
      <c r="Z33" s="59">
        <f t="shared" si="62"/>
        <v>185512.5</v>
      </c>
      <c r="AA33" s="59">
        <f t="shared" si="62"/>
        <v>144896.62</v>
      </c>
      <c r="AB33" s="59">
        <f t="shared" si="62"/>
        <v>307704.36499999999</v>
      </c>
      <c r="AC33" s="59">
        <f t="shared" si="62"/>
        <v>112381.91</v>
      </c>
      <c r="AD33" s="59">
        <f t="shared" si="62"/>
        <v>201197.09600000002</v>
      </c>
      <c r="AE33" s="59">
        <f t="shared" si="62"/>
        <v>0</v>
      </c>
      <c r="AF33" s="59">
        <f t="shared" si="62"/>
        <v>303651.08400000003</v>
      </c>
      <c r="AG33" s="59">
        <f t="shared" si="62"/>
        <v>0</v>
      </c>
      <c r="AH33" s="60" t="s">
        <v>356</v>
      </c>
      <c r="AI33" s="20"/>
    </row>
    <row r="34" spans="1:35" s="22" customFormat="1" ht="28.5" customHeight="1" x14ac:dyDescent="0.25">
      <c r="A34" s="548"/>
      <c r="B34" s="526"/>
      <c r="C34" s="126" t="s">
        <v>52</v>
      </c>
      <c r="D34" s="74">
        <f>SUM(J34,L34,N34,P34,R34,T34,V34,X34,Z34,AB34,AD34,AF34)</f>
        <v>24359.297000000006</v>
      </c>
      <c r="E34" s="74">
        <f>J34+L34+N34+P34+R34+T34+V34+X34+Z34+AB34</f>
        <v>15632.091000000004</v>
      </c>
      <c r="F34" s="74">
        <f t="shared" ref="F34:F35" si="63">G34</f>
        <v>10817.710000000001</v>
      </c>
      <c r="G34" s="74">
        <f t="shared" ref="G34:G35" si="64">SUM(K34,M34,O34,Q34,S34,U34,W34,Y34,AA34,AC34,AE34,AG34)</f>
        <v>10817.710000000001</v>
      </c>
      <c r="H34" s="74">
        <f t="shared" si="60"/>
        <v>44.408958107452769</v>
      </c>
      <c r="I34" s="74">
        <f t="shared" si="61"/>
        <v>69.201938499462415</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0</v>
      </c>
      <c r="AB34" s="63">
        <f t="shared" si="65"/>
        <v>3055.9409999999998</v>
      </c>
      <c r="AC34" s="63">
        <f t="shared" si="65"/>
        <v>0</v>
      </c>
      <c r="AD34" s="63">
        <f t="shared" si="65"/>
        <v>2831.2150000000001</v>
      </c>
      <c r="AE34" s="63">
        <f t="shared" si="65"/>
        <v>0</v>
      </c>
      <c r="AF34" s="63">
        <f t="shared" si="65"/>
        <v>5895.991</v>
      </c>
      <c r="AG34" s="63">
        <f t="shared" si="65"/>
        <v>0</v>
      </c>
      <c r="AH34" s="60"/>
      <c r="AI34" s="20"/>
    </row>
    <row r="35" spans="1:35" s="22" customFormat="1" ht="28.5" customHeight="1" x14ac:dyDescent="0.25">
      <c r="A35" s="548"/>
      <c r="B35" s="526"/>
      <c r="C35" s="126" t="s">
        <v>22</v>
      </c>
      <c r="D35" s="74">
        <f t="shared" ref="D35" si="66">SUM(J35,L35,N35,P35,R35,T35,V35,X35,Z35,AB35,AD35,AF35)</f>
        <v>2725304.3229999994</v>
      </c>
      <c r="E35" s="74">
        <f t="shared" ref="E35:E37" si="67">J35+L35+N35+P35+R35+T35+V35+X35+Z35+AB35</f>
        <v>2325548.4269999997</v>
      </c>
      <c r="F35" s="74">
        <f t="shared" si="63"/>
        <v>2011586.0260000001</v>
      </c>
      <c r="G35" s="74">
        <f t="shared" si="64"/>
        <v>2011586.0260000001</v>
      </c>
      <c r="H35" s="74">
        <f t="shared" si="60"/>
        <v>73.811427554103673</v>
      </c>
      <c r="I35" s="74">
        <f t="shared" si="61"/>
        <v>86.499425367588799</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381275.71100000001</v>
      </c>
      <c r="W35" s="63">
        <f t="shared" si="68"/>
        <v>379615.37</v>
      </c>
      <c r="X35" s="63">
        <f t="shared" si="68"/>
        <v>98103.665999999997</v>
      </c>
      <c r="Y35" s="63">
        <f t="shared" si="68"/>
        <v>59215</v>
      </c>
      <c r="Z35" s="63">
        <f t="shared" si="68"/>
        <v>143661.13699999999</v>
      </c>
      <c r="AA35" s="63">
        <f t="shared" si="68"/>
        <v>111600</v>
      </c>
      <c r="AB35" s="63">
        <f t="shared" si="68"/>
        <v>252129.00200000001</v>
      </c>
      <c r="AC35" s="63">
        <f t="shared" si="68"/>
        <v>35057.81</v>
      </c>
      <c r="AD35" s="63">
        <f t="shared" si="68"/>
        <v>139488.723</v>
      </c>
      <c r="AE35" s="63">
        <f t="shared" si="68"/>
        <v>0</v>
      </c>
      <c r="AF35" s="63">
        <f t="shared" si="68"/>
        <v>260267.17300000001</v>
      </c>
      <c r="AG35" s="63">
        <f t="shared" si="68"/>
        <v>0</v>
      </c>
      <c r="AH35" s="60"/>
      <c r="AI35" s="20"/>
    </row>
    <row r="36" spans="1:35" s="26" customFormat="1" ht="45" customHeight="1" x14ac:dyDescent="0.25">
      <c r="A36" s="548"/>
      <c r="B36" s="526"/>
      <c r="C36" s="124" t="s">
        <v>21</v>
      </c>
      <c r="D36" s="74">
        <f>SUM(J36,L36,N36,P36,R36,T36,V36,X36,Z36,AB36,AD36,AF36)</f>
        <v>601347.09499999997</v>
      </c>
      <c r="E36" s="74">
        <f t="shared" si="67"/>
        <v>512891.587</v>
      </c>
      <c r="F36" s="74">
        <f>G36</f>
        <v>515778.78699999995</v>
      </c>
      <c r="G36" s="74">
        <f>SUM(K36,M36,O36,Q36,S36,U36,W36,Y36,AA36,AC36,AE36,AG36)</f>
        <v>515778.78699999995</v>
      </c>
      <c r="H36" s="74">
        <f>IFERROR(G36/D36*100,0)</f>
        <v>85.770562673126406</v>
      </c>
      <c r="I36" s="74">
        <f>IFERROR(G36/E36*100,0)</f>
        <v>100.56292598147061</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26132.55</v>
      </c>
      <c r="AB36" s="67">
        <f t="shared" si="69"/>
        <v>45634.802000000003</v>
      </c>
      <c r="AC36" s="67">
        <f t="shared" si="69"/>
        <v>51803.39</v>
      </c>
      <c r="AD36" s="67">
        <f t="shared" si="69"/>
        <v>52887.477000000006</v>
      </c>
      <c r="AE36" s="67">
        <f t="shared" si="69"/>
        <v>0</v>
      </c>
      <c r="AF36" s="67">
        <f t="shared" si="69"/>
        <v>35568.031000000003</v>
      </c>
      <c r="AG36" s="67">
        <f t="shared" si="69"/>
        <v>0</v>
      </c>
      <c r="AH36" s="72"/>
      <c r="AI36" s="24"/>
    </row>
    <row r="37" spans="1:35" s="26" customFormat="1" ht="31.5" customHeight="1" x14ac:dyDescent="0.25">
      <c r="A37" s="520"/>
      <c r="B37" s="526"/>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549"/>
      <c r="B38" s="551" t="s">
        <v>245</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550"/>
      <c r="B39" s="552"/>
      <c r="C39" s="126" t="s">
        <v>22</v>
      </c>
      <c r="D39" s="74">
        <f>SUM(J39,L39,N39,P39,R39,T39,V39,X39,Z39,AB39,AD39,AF39)</f>
        <v>2546854.6240000003</v>
      </c>
      <c r="E39" s="62">
        <f>J39+L39+N39+P39+R39+T39+V39+X39+Z39+AB39</f>
        <v>2182362.8600000003</v>
      </c>
      <c r="F39" s="62">
        <f>G39</f>
        <v>1902980.2760000001</v>
      </c>
      <c r="G39" s="62">
        <f>SUM(K39,M39,O39,Q39,S39,U39,W39,Y39,AA39,AC39,AE39,AG39)</f>
        <v>1902980.2760000001</v>
      </c>
      <c r="H39" s="62">
        <f>IFERROR(G39/D39*100,0)</f>
        <v>74.718841745715594</v>
      </c>
      <c r="I39" s="62">
        <f>IFERROR(G39/E39*100,0)</f>
        <v>87.198160804477752</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381275.71100000001</v>
      </c>
      <c r="W39" s="63">
        <f t="shared" si="76"/>
        <v>379615.37</v>
      </c>
      <c r="X39" s="63">
        <f t="shared" si="76"/>
        <v>98103.665999999997</v>
      </c>
      <c r="Y39" s="63">
        <f t="shared" si="76"/>
        <v>59215</v>
      </c>
      <c r="Z39" s="63">
        <f t="shared" si="76"/>
        <v>131912.166</v>
      </c>
      <c r="AA39" s="63">
        <f t="shared" si="76"/>
        <v>111600</v>
      </c>
      <c r="AB39" s="63">
        <f t="shared" si="76"/>
        <v>231384.538</v>
      </c>
      <c r="AC39" s="63">
        <f t="shared" si="76"/>
        <v>35057.81</v>
      </c>
      <c r="AD39" s="63">
        <f t="shared" si="76"/>
        <v>119450.68100000001</v>
      </c>
      <c r="AE39" s="63">
        <f t="shared" si="76"/>
        <v>0</v>
      </c>
      <c r="AF39" s="63">
        <f t="shared" si="76"/>
        <v>245041.08300000001</v>
      </c>
      <c r="AG39" s="63">
        <f t="shared" si="76"/>
        <v>0</v>
      </c>
      <c r="AH39" s="60"/>
      <c r="AI39" s="20"/>
    </row>
    <row r="40" spans="1:35" s="22" customFormat="1" ht="42.75" customHeight="1" x14ac:dyDescent="0.25">
      <c r="A40" s="550"/>
      <c r="B40" s="552"/>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543"/>
      <c r="B41" s="552"/>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531"/>
      <c r="B42" s="534" t="s">
        <v>246</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532"/>
      <c r="B43" s="535"/>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532"/>
      <c r="B44" s="535"/>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533"/>
      <c r="B45" s="536"/>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530" t="s">
        <v>247</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530"/>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530" t="s">
        <v>248</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530"/>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537"/>
      <c r="B50" s="534" t="s">
        <v>249</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538"/>
      <c r="B51" s="535"/>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539"/>
      <c r="B52" s="536"/>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530" t="s">
        <v>250</v>
      </c>
      <c r="C53" s="126" t="s">
        <v>20</v>
      </c>
      <c r="D53" s="74">
        <f t="shared" ref="D53:E53" si="95">D54</f>
        <v>46122.400000000001</v>
      </c>
      <c r="E53" s="62">
        <f t="shared" si="95"/>
        <v>32370.7</v>
      </c>
      <c r="F53" s="62">
        <f t="shared" ref="F53:F54" si="96">G53</f>
        <v>32334.563999999998</v>
      </c>
      <c r="G53" s="62">
        <f>G54</f>
        <v>32334.563999999998</v>
      </c>
      <c r="H53" s="62">
        <f t="shared" ref="H53:H55" si="97">IFERROR(G53/D53*100,0)</f>
        <v>70.105987546181453</v>
      </c>
      <c r="I53" s="62">
        <f t="shared" ref="I53:I55" si="98">IFERROR(G53/E53*100,0)</f>
        <v>99.888368184809096</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0</v>
      </c>
      <c r="W53" s="62">
        <f t="shared" si="99"/>
        <v>0</v>
      </c>
      <c r="X53" s="62">
        <f t="shared" si="99"/>
        <v>0</v>
      </c>
      <c r="Y53" s="62">
        <f t="shared" si="99"/>
        <v>0</v>
      </c>
      <c r="Z53" s="62">
        <f t="shared" si="99"/>
        <v>0</v>
      </c>
      <c r="AA53" s="62">
        <f t="shared" si="99"/>
        <v>0</v>
      </c>
      <c r="AB53" s="62">
        <f t="shared" si="99"/>
        <v>0</v>
      </c>
      <c r="AC53" s="62">
        <f t="shared" si="99"/>
        <v>0</v>
      </c>
      <c r="AD53" s="62">
        <f t="shared" si="99"/>
        <v>0</v>
      </c>
      <c r="AE53" s="62">
        <f t="shared" si="99"/>
        <v>0</v>
      </c>
      <c r="AF53" s="62">
        <f t="shared" si="99"/>
        <v>13751.7</v>
      </c>
      <c r="AG53" s="62">
        <f t="shared" si="99"/>
        <v>0</v>
      </c>
      <c r="AH53" s="64"/>
      <c r="AI53" s="20"/>
    </row>
    <row r="54" spans="1:35" s="22" customFormat="1" ht="67.5" customHeight="1" x14ac:dyDescent="0.25">
      <c r="A54" s="152"/>
      <c r="B54" s="530"/>
      <c r="C54" s="126" t="s">
        <v>22</v>
      </c>
      <c r="D54" s="74">
        <f t="shared" ref="D54" si="100">SUM(J54,L54,N54,P54,R54,T54,V54,X54,Z54,AB54,AD54,AF54)</f>
        <v>46122.400000000001</v>
      </c>
      <c r="E54" s="62">
        <f>J54+L54+N54+P54+R54+T54</f>
        <v>32370.7</v>
      </c>
      <c r="F54" s="62">
        <f t="shared" si="96"/>
        <v>32334.563999999998</v>
      </c>
      <c r="G54" s="62">
        <f t="shared" ref="G54" si="101">SUM(K54,M54,O54,Q54,S54,U54,W54,Y54,AA54,AC54,AE54,AG54)</f>
        <v>32334.563999999998</v>
      </c>
      <c r="H54" s="62">
        <f t="shared" si="97"/>
        <v>70.105987546181453</v>
      </c>
      <c r="I54" s="62">
        <f t="shared" si="98"/>
        <v>99.888368184809096</v>
      </c>
      <c r="J54" s="63">
        <v>0</v>
      </c>
      <c r="K54" s="63">
        <v>0</v>
      </c>
      <c r="L54" s="63">
        <v>10000</v>
      </c>
      <c r="M54" s="63">
        <v>9277.5139999999992</v>
      </c>
      <c r="N54" s="63">
        <v>5000</v>
      </c>
      <c r="O54" s="63">
        <v>5629.19</v>
      </c>
      <c r="P54" s="63">
        <v>6300</v>
      </c>
      <c r="Q54" s="63">
        <v>5751.82</v>
      </c>
      <c r="R54" s="63">
        <v>5250</v>
      </c>
      <c r="S54" s="63">
        <v>5855.34</v>
      </c>
      <c r="T54" s="63">
        <v>5820.7</v>
      </c>
      <c r="U54" s="63">
        <v>5820.7</v>
      </c>
      <c r="V54" s="63">
        <v>0</v>
      </c>
      <c r="W54" s="63">
        <v>0</v>
      </c>
      <c r="X54" s="63">
        <v>0</v>
      </c>
      <c r="Y54" s="63">
        <v>0</v>
      </c>
      <c r="Z54" s="63">
        <v>0</v>
      </c>
      <c r="AA54" s="63">
        <v>0</v>
      </c>
      <c r="AB54" s="63">
        <v>0</v>
      </c>
      <c r="AC54" s="63">
        <v>0</v>
      </c>
      <c r="AD54" s="63">
        <v>0</v>
      </c>
      <c r="AE54" s="63">
        <v>0</v>
      </c>
      <c r="AF54" s="63">
        <f>46122.4-10000-5000-6300-5250-5820.7</f>
        <v>13751.7</v>
      </c>
      <c r="AG54" s="63">
        <v>0</v>
      </c>
      <c r="AH54" s="64"/>
      <c r="AI54" s="20"/>
    </row>
    <row r="55" spans="1:35" s="22" customFormat="1" ht="23.25" customHeight="1" x14ac:dyDescent="0.25">
      <c r="A55" s="531"/>
      <c r="B55" s="534" t="s">
        <v>251</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532"/>
      <c r="B56" s="535"/>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540"/>
      <c r="B57" s="536"/>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471"/>
      <c r="B58" s="470" t="s">
        <v>419</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471"/>
      <c r="B59" s="472"/>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520"/>
      <c r="B60" s="541" t="s">
        <v>252</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520"/>
      <c r="B61" s="541"/>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521"/>
      <c r="B62" s="541"/>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530" t="s">
        <v>253</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530"/>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518" t="s">
        <v>326</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518"/>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519"/>
      <c r="B67" s="522" t="s">
        <v>254</v>
      </c>
      <c r="C67" s="125" t="s">
        <v>20</v>
      </c>
      <c r="D67" s="70">
        <f>D70+D69+D68</f>
        <v>240922.29300000001</v>
      </c>
      <c r="E67" s="70">
        <f t="shared" ref="E67:G67" si="124">E70+E69+E68</f>
        <v>142404.95599999998</v>
      </c>
      <c r="F67" s="70">
        <f t="shared" si="124"/>
        <v>140318.56599999999</v>
      </c>
      <c r="G67" s="70">
        <f t="shared" si="124"/>
        <v>140318.56599999999</v>
      </c>
      <c r="H67" s="58">
        <f t="shared" si="118"/>
        <v>58.242250749290349</v>
      </c>
      <c r="I67" s="58">
        <f t="shared" si="119"/>
        <v>98.53488947393096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0</v>
      </c>
      <c r="AB67" s="59">
        <f t="shared" si="125"/>
        <v>28000.196</v>
      </c>
      <c r="AC67" s="59">
        <f t="shared" si="125"/>
        <v>0</v>
      </c>
      <c r="AD67" s="59">
        <f t="shared" si="125"/>
        <v>27027.771000000001</v>
      </c>
      <c r="AE67" s="59">
        <f t="shared" si="125"/>
        <v>0</v>
      </c>
      <c r="AF67" s="59">
        <f t="shared" si="125"/>
        <v>27147.124000000003</v>
      </c>
      <c r="AG67" s="59">
        <f t="shared" si="125"/>
        <v>0</v>
      </c>
      <c r="AH67" s="60"/>
      <c r="AI67" s="20"/>
    </row>
    <row r="68" spans="1:35" s="22" customFormat="1" ht="38.25" customHeight="1" x14ac:dyDescent="0.25">
      <c r="A68" s="520"/>
      <c r="B68" s="523"/>
      <c r="C68" s="126" t="s">
        <v>52</v>
      </c>
      <c r="D68" s="74">
        <f>SUM(J68,L68,N68,P68,R68,T68,V68,X68,Z68,AB68,AD68,AF68)</f>
        <v>24359.297000000006</v>
      </c>
      <c r="E68" s="62">
        <f>J68+L68+N68+P68+R68+T68</f>
        <v>10817.710000000003</v>
      </c>
      <c r="F68" s="62">
        <f>G68</f>
        <v>10817.710000000001</v>
      </c>
      <c r="G68" s="62">
        <f>SUM(K68,M68,O68,Q68,S68,U68,W68,Y68,AA68,AC68,AE68,AG68)</f>
        <v>10817.710000000001</v>
      </c>
      <c r="H68" s="62">
        <f>IFERROR(G68/D68*100,0)</f>
        <v>44.408958107452769</v>
      </c>
      <c r="I68" s="62">
        <f>IFERROR(G68/E68*100,0)</f>
        <v>99.999999999999972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0</v>
      </c>
      <c r="AB68" s="63">
        <v>3055.9409999999998</v>
      </c>
      <c r="AC68" s="63">
        <v>0</v>
      </c>
      <c r="AD68" s="63">
        <v>2831.2150000000001</v>
      </c>
      <c r="AE68" s="63">
        <v>0</v>
      </c>
      <c r="AF68" s="63">
        <f>3207.25+2688.741</f>
        <v>5895.991</v>
      </c>
      <c r="AG68" s="63">
        <v>0</v>
      </c>
      <c r="AH68" s="64" t="s">
        <v>354</v>
      </c>
      <c r="AI68" s="20"/>
    </row>
    <row r="69" spans="1:35" s="22" customFormat="1" ht="58.5" customHeight="1" x14ac:dyDescent="0.25">
      <c r="A69" s="520"/>
      <c r="B69" s="523"/>
      <c r="C69" s="126" t="s">
        <v>22</v>
      </c>
      <c r="D69" s="74">
        <f>SUM(J69,L69,N69,P69,R69,T69,V69,X69,Z69,AB69,AD69,AF69)</f>
        <v>178449.69899999999</v>
      </c>
      <c r="E69" s="62">
        <f>J69+L69+N69+P69+R69+T69</f>
        <v>110692.132</v>
      </c>
      <c r="F69" s="62">
        <f>G69</f>
        <v>108605.75</v>
      </c>
      <c r="G69" s="62">
        <f>SUM(K69,M69,O69,Q69,S69,U69,W69,Y69,AA69,AC69,AE69,AG69)</f>
        <v>108605.75</v>
      </c>
      <c r="H69" s="62">
        <f>IFERROR(G69/D69*100,0)</f>
        <v>60.860707868159537</v>
      </c>
      <c r="I69" s="62">
        <f>IFERROR(G69/E69*100,0)</f>
        <v>98.115148780402933</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0</v>
      </c>
      <c r="AB69" s="63">
        <v>20744.464</v>
      </c>
      <c r="AC69" s="63">
        <v>0</v>
      </c>
      <c r="AD69" s="63">
        <v>20038.042000000001</v>
      </c>
      <c r="AE69" s="63">
        <v>0</v>
      </c>
      <c r="AF69" s="63">
        <v>15226.09</v>
      </c>
      <c r="AG69" s="63">
        <v>0</v>
      </c>
      <c r="AH69" s="63"/>
      <c r="AI69" s="20"/>
    </row>
    <row r="70" spans="1:35" s="22" customFormat="1" ht="45.75" customHeight="1" x14ac:dyDescent="0.25">
      <c r="A70" s="521"/>
      <c r="B70" s="524"/>
      <c r="C70" s="126" t="s">
        <v>21</v>
      </c>
      <c r="D70" s="74">
        <f>SUM(J70,L70,N70,P70,R70,T70,V70,X70,Z70,AB70,AD70,AF70)</f>
        <v>38113.296999999999</v>
      </c>
      <c r="E70" s="62">
        <f t="shared" ref="E70" si="126">J70+L70+N70+P70+R70+T70</f>
        <v>20895.113999999998</v>
      </c>
      <c r="F70" s="62">
        <f>G70</f>
        <v>20895.106</v>
      </c>
      <c r="G70" s="62">
        <f>SUM(K70,M70,O70,Q70,S70,U70,W70,Y70,AA70,AC70,AE70,AG70)</f>
        <v>20895.106</v>
      </c>
      <c r="H70" s="62">
        <f>IFERROR(G70/D70*100,0)</f>
        <v>54.823664297528495</v>
      </c>
      <c r="I70" s="62">
        <f>IFERROR(G70/E70*100,0)</f>
        <v>99.999961713537445</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0</v>
      </c>
      <c r="AB70" s="63">
        <f>4507.231-307.44</f>
        <v>4199.7910000000002</v>
      </c>
      <c r="AC70" s="63">
        <v>0</v>
      </c>
      <c r="AD70" s="63">
        <v>4158.5140000000001</v>
      </c>
      <c r="AE70" s="63">
        <v>0</v>
      </c>
      <c r="AF70" s="63">
        <f>2073.5+3951.543</f>
        <v>6025.0429999999997</v>
      </c>
      <c r="AG70" s="63">
        <v>0</v>
      </c>
      <c r="AH70" s="60"/>
      <c r="AI70" s="20"/>
    </row>
    <row r="71" spans="1:35" s="22" customFormat="1" ht="32.25" customHeight="1" x14ac:dyDescent="0.25">
      <c r="A71" s="153"/>
      <c r="B71" s="511" t="s">
        <v>255</v>
      </c>
      <c r="C71" s="512"/>
      <c r="D71" s="512"/>
      <c r="E71" s="512"/>
      <c r="F71" s="512"/>
      <c r="G71" s="512"/>
      <c r="H71" s="512"/>
      <c r="I71" s="512"/>
      <c r="J71" s="512"/>
      <c r="K71" s="512"/>
      <c r="L71" s="512"/>
      <c r="M71" s="512"/>
      <c r="N71" s="512"/>
      <c r="O71" s="512"/>
      <c r="P71" s="512"/>
      <c r="Q71" s="512"/>
      <c r="R71" s="512"/>
      <c r="S71" s="512"/>
      <c r="T71" s="512"/>
      <c r="U71" s="512"/>
      <c r="V71" s="512"/>
      <c r="W71" s="512"/>
      <c r="X71" s="512"/>
      <c r="Y71" s="512"/>
      <c r="Z71" s="512"/>
      <c r="AA71" s="512"/>
      <c r="AB71" s="512"/>
      <c r="AC71" s="512"/>
      <c r="AD71" s="512"/>
      <c r="AE71" s="512"/>
      <c r="AF71" s="512"/>
      <c r="AG71" s="513"/>
      <c r="AH71" s="48"/>
      <c r="AI71" s="20"/>
    </row>
    <row r="72" spans="1:35" s="21" customFormat="1" ht="23.25" customHeight="1" x14ac:dyDescent="0.25">
      <c r="A72" s="519" t="s">
        <v>38</v>
      </c>
      <c r="B72" s="525" t="s">
        <v>256</v>
      </c>
      <c r="C72" s="125" t="s">
        <v>20</v>
      </c>
      <c r="D72" s="70">
        <f>D74+D75+D73</f>
        <v>52663.19200000001</v>
      </c>
      <c r="E72" s="70">
        <f t="shared" ref="E72:G72" si="127">E74+E75+E73</f>
        <v>52244.902000000002</v>
      </c>
      <c r="F72" s="70">
        <f t="shared" si="127"/>
        <v>46435.64</v>
      </c>
      <c r="G72" s="70">
        <f t="shared" si="127"/>
        <v>46435.64</v>
      </c>
      <c r="H72" s="58">
        <f t="shared" ref="H72:H93" si="128">IFERROR(G72/D72*100,0)</f>
        <v>88.174754010353169</v>
      </c>
      <c r="I72" s="58">
        <f t="shared" ref="I72:I93" si="129">IFERROR(G72/E72*100,0)</f>
        <v>88.880710313132568</v>
      </c>
      <c r="J72" s="58">
        <f t="shared" ref="J72:AG72" si="130">J74+J75+J73</f>
        <v>518.59899999999993</v>
      </c>
      <c r="K72" s="58">
        <f t="shared" si="130"/>
        <v>418.6</v>
      </c>
      <c r="L72" s="58">
        <f t="shared" si="130"/>
        <v>81.510000000000005</v>
      </c>
      <c r="M72" s="58">
        <f t="shared" si="130"/>
        <v>111.495</v>
      </c>
      <c r="N72" s="58">
        <f t="shared" si="130"/>
        <v>1447.12</v>
      </c>
      <c r="O72" s="58">
        <f t="shared" si="130"/>
        <v>1447.1189999999999</v>
      </c>
      <c r="P72" s="58">
        <f t="shared" si="130"/>
        <v>13699.06</v>
      </c>
      <c r="Q72" s="58">
        <f t="shared" si="130"/>
        <v>11329.14</v>
      </c>
      <c r="R72" s="58">
        <f t="shared" si="130"/>
        <v>2835.0949999999998</v>
      </c>
      <c r="S72" s="58">
        <f t="shared" si="130"/>
        <v>2121.08</v>
      </c>
      <c r="T72" s="58">
        <f t="shared" si="130"/>
        <v>11759.248000000001</v>
      </c>
      <c r="U72" s="58">
        <f t="shared" si="130"/>
        <v>9218.3260000000009</v>
      </c>
      <c r="V72" s="58">
        <f t="shared" si="130"/>
        <v>10798.150000000001</v>
      </c>
      <c r="W72" s="58">
        <f t="shared" si="130"/>
        <v>10798.15</v>
      </c>
      <c r="X72" s="58">
        <f t="shared" si="130"/>
        <v>5000</v>
      </c>
      <c r="Y72" s="58">
        <f t="shared" si="130"/>
        <v>5000</v>
      </c>
      <c r="Z72" s="58">
        <f t="shared" si="130"/>
        <v>3637.0200000000004</v>
      </c>
      <c r="AA72" s="58">
        <f t="shared" si="130"/>
        <v>5159.09</v>
      </c>
      <c r="AB72" s="58">
        <f t="shared" si="130"/>
        <v>2469.1</v>
      </c>
      <c r="AC72" s="58">
        <f t="shared" si="130"/>
        <v>832.64</v>
      </c>
      <c r="AD72" s="58">
        <f t="shared" si="130"/>
        <v>418.29</v>
      </c>
      <c r="AE72" s="58">
        <f t="shared" si="130"/>
        <v>0</v>
      </c>
      <c r="AF72" s="58">
        <f t="shared" si="130"/>
        <v>0</v>
      </c>
      <c r="AG72" s="58">
        <f t="shared" si="130"/>
        <v>0</v>
      </c>
      <c r="AH72" s="60"/>
      <c r="AI72" s="23"/>
    </row>
    <row r="73" spans="1:35" s="21" customFormat="1" ht="24.75" hidden="1" customHeight="1" x14ac:dyDescent="0.25">
      <c r="A73" s="520"/>
      <c r="B73" s="526"/>
      <c r="C73" s="126" t="s">
        <v>52</v>
      </c>
      <c r="D73" s="74">
        <f>SUM(J73,L73,N73,P73,R73,T73,V73,X73,Z73,AB73,AD73,AF73)</f>
        <v>0</v>
      </c>
      <c r="E73" s="62">
        <f>J73</f>
        <v>0</v>
      </c>
      <c r="F73" s="62">
        <f>G73</f>
        <v>0</v>
      </c>
      <c r="G73" s="62">
        <f>SUM(K73,M73,O73,Q73,S73,U73,W73,Y73,AA73,AC73,AE73,AG73)</f>
        <v>0</v>
      </c>
      <c r="H73" s="62">
        <f t="shared" si="128"/>
        <v>0</v>
      </c>
      <c r="I73" s="62">
        <f t="shared" si="129"/>
        <v>0</v>
      </c>
      <c r="J73" s="62">
        <f>J77</f>
        <v>0</v>
      </c>
      <c r="K73" s="62">
        <f t="shared" ref="K73:AG74" si="131">K77</f>
        <v>0</v>
      </c>
      <c r="L73" s="62">
        <f t="shared" si="131"/>
        <v>0</v>
      </c>
      <c r="M73" s="62">
        <f t="shared" si="131"/>
        <v>0</v>
      </c>
      <c r="N73" s="62">
        <f t="shared" si="131"/>
        <v>0</v>
      </c>
      <c r="O73" s="62">
        <f t="shared" si="131"/>
        <v>0</v>
      </c>
      <c r="P73" s="62">
        <f t="shared" si="131"/>
        <v>0</v>
      </c>
      <c r="Q73" s="62">
        <f t="shared" si="131"/>
        <v>0</v>
      </c>
      <c r="R73" s="62">
        <f t="shared" si="131"/>
        <v>0</v>
      </c>
      <c r="S73" s="62">
        <f t="shared" si="131"/>
        <v>0</v>
      </c>
      <c r="T73" s="62">
        <f t="shared" si="131"/>
        <v>0</v>
      </c>
      <c r="U73" s="62">
        <f t="shared" si="131"/>
        <v>0</v>
      </c>
      <c r="V73" s="62">
        <f t="shared" si="131"/>
        <v>0</v>
      </c>
      <c r="W73" s="62">
        <f t="shared" si="131"/>
        <v>0</v>
      </c>
      <c r="X73" s="62">
        <f t="shared" si="131"/>
        <v>0</v>
      </c>
      <c r="Y73" s="62">
        <f t="shared" si="131"/>
        <v>0</v>
      </c>
      <c r="Z73" s="62">
        <f t="shared" si="131"/>
        <v>0</v>
      </c>
      <c r="AA73" s="62">
        <f t="shared" si="131"/>
        <v>0</v>
      </c>
      <c r="AB73" s="62">
        <f t="shared" si="131"/>
        <v>0</v>
      </c>
      <c r="AC73" s="62">
        <f t="shared" si="131"/>
        <v>0</v>
      </c>
      <c r="AD73" s="62">
        <f t="shared" si="131"/>
        <v>0</v>
      </c>
      <c r="AE73" s="62">
        <f t="shared" si="131"/>
        <v>0</v>
      </c>
      <c r="AF73" s="62">
        <f t="shared" si="131"/>
        <v>0</v>
      </c>
      <c r="AG73" s="62">
        <f t="shared" si="131"/>
        <v>0</v>
      </c>
      <c r="AH73" s="60"/>
      <c r="AI73" s="23"/>
    </row>
    <row r="74" spans="1:35" s="21" customFormat="1" ht="37.5" customHeight="1" x14ac:dyDescent="0.25">
      <c r="A74" s="520"/>
      <c r="B74" s="526"/>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8"/>
        <v>86.894533854256011</v>
      </c>
      <c r="I74" s="62">
        <f t="shared" si="129"/>
        <v>87.967415345513118</v>
      </c>
      <c r="J74" s="63">
        <f>J78</f>
        <v>414.19299999999998</v>
      </c>
      <c r="K74" s="63">
        <f t="shared" si="131"/>
        <v>314.19</v>
      </c>
      <c r="L74" s="63">
        <f t="shared" si="131"/>
        <v>81.510000000000005</v>
      </c>
      <c r="M74" s="63">
        <f t="shared" si="131"/>
        <v>111.495</v>
      </c>
      <c r="N74" s="63">
        <f t="shared" si="131"/>
        <v>235.59</v>
      </c>
      <c r="O74" s="63">
        <f t="shared" si="131"/>
        <v>235.589</v>
      </c>
      <c r="P74" s="63">
        <f t="shared" si="131"/>
        <v>13699.06</v>
      </c>
      <c r="Q74" s="63">
        <f t="shared" si="131"/>
        <v>11329.14</v>
      </c>
      <c r="R74" s="63">
        <f t="shared" si="131"/>
        <v>805.14</v>
      </c>
      <c r="S74" s="63">
        <f t="shared" si="131"/>
        <v>805.14</v>
      </c>
      <c r="T74" s="63">
        <f t="shared" si="131"/>
        <v>28.79</v>
      </c>
      <c r="U74" s="63">
        <f t="shared" si="131"/>
        <v>28.786000000000001</v>
      </c>
      <c r="V74" s="63">
        <f t="shared" si="131"/>
        <v>10144.650000000001</v>
      </c>
      <c r="W74" s="63">
        <f t="shared" si="131"/>
        <v>10144.65</v>
      </c>
      <c r="X74" s="63">
        <f t="shared" si="131"/>
        <v>3000</v>
      </c>
      <c r="Y74" s="63">
        <f t="shared" si="131"/>
        <v>3000</v>
      </c>
      <c r="Z74" s="63">
        <f t="shared" si="131"/>
        <v>3000</v>
      </c>
      <c r="AA74" s="63">
        <f t="shared" si="131"/>
        <v>3000</v>
      </c>
      <c r="AB74" s="63">
        <f t="shared" si="131"/>
        <v>2469.1</v>
      </c>
      <c r="AC74" s="63">
        <f t="shared" si="131"/>
        <v>832.64</v>
      </c>
      <c r="AD74" s="63">
        <f t="shared" si="131"/>
        <v>418.29</v>
      </c>
      <c r="AE74" s="63">
        <f t="shared" si="131"/>
        <v>0</v>
      </c>
      <c r="AF74" s="63">
        <f t="shared" si="131"/>
        <v>0</v>
      </c>
      <c r="AG74" s="63">
        <f t="shared" si="131"/>
        <v>0</v>
      </c>
      <c r="AH74" s="60"/>
      <c r="AI74" s="23"/>
    </row>
    <row r="75" spans="1:35" s="22" customFormat="1" ht="33" customHeight="1" x14ac:dyDescent="0.25">
      <c r="A75" s="520"/>
      <c r="B75" s="527"/>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8"/>
        <v>90.565299943065952</v>
      </c>
      <c r="I75" s="62">
        <f>IFERROR(G75/E75*100,0)</f>
        <v>90.565299943065952</v>
      </c>
      <c r="J75" s="67">
        <f t="shared" ref="J75:AG75" si="132">J80</f>
        <v>104.40600000000001</v>
      </c>
      <c r="K75" s="67">
        <f t="shared" si="132"/>
        <v>104.41</v>
      </c>
      <c r="L75" s="67">
        <f t="shared" si="132"/>
        <v>0</v>
      </c>
      <c r="M75" s="67">
        <f t="shared" si="132"/>
        <v>0</v>
      </c>
      <c r="N75" s="67">
        <f t="shared" si="132"/>
        <v>1211.53</v>
      </c>
      <c r="O75" s="67">
        <f t="shared" si="132"/>
        <v>1211.53</v>
      </c>
      <c r="P75" s="67">
        <f t="shared" si="132"/>
        <v>0</v>
      </c>
      <c r="Q75" s="67">
        <f t="shared" si="132"/>
        <v>0</v>
      </c>
      <c r="R75" s="67">
        <f t="shared" si="132"/>
        <v>2029.9549999999999</v>
      </c>
      <c r="S75" s="67">
        <f t="shared" si="132"/>
        <v>1315.94</v>
      </c>
      <c r="T75" s="67">
        <f t="shared" si="132"/>
        <v>11730.458000000001</v>
      </c>
      <c r="U75" s="67">
        <f t="shared" si="132"/>
        <v>9189.5400000000009</v>
      </c>
      <c r="V75" s="67">
        <f t="shared" si="132"/>
        <v>653.5</v>
      </c>
      <c r="W75" s="67">
        <f t="shared" si="132"/>
        <v>653.5</v>
      </c>
      <c r="X75" s="67">
        <f t="shared" si="132"/>
        <v>2000</v>
      </c>
      <c r="Y75" s="67">
        <f t="shared" si="132"/>
        <v>2000</v>
      </c>
      <c r="Z75" s="67">
        <f t="shared" si="132"/>
        <v>637.02000000000021</v>
      </c>
      <c r="AA75" s="67">
        <f t="shared" si="132"/>
        <v>2159.09</v>
      </c>
      <c r="AB75" s="67">
        <f t="shared" si="132"/>
        <v>0</v>
      </c>
      <c r="AC75" s="67">
        <f t="shared" si="132"/>
        <v>0</v>
      </c>
      <c r="AD75" s="67">
        <f t="shared" si="132"/>
        <v>0</v>
      </c>
      <c r="AE75" s="67">
        <f t="shared" si="132"/>
        <v>0</v>
      </c>
      <c r="AF75" s="67">
        <f t="shared" si="132"/>
        <v>0</v>
      </c>
      <c r="AG75" s="67">
        <f t="shared" si="132"/>
        <v>0</v>
      </c>
      <c r="AH75" s="64"/>
      <c r="AI75" s="20"/>
    </row>
    <row r="76" spans="1:35" s="21" customFormat="1" ht="72.75" customHeight="1" x14ac:dyDescent="0.25">
      <c r="A76" s="127"/>
      <c r="B76" s="516" t="s">
        <v>257</v>
      </c>
      <c r="C76" s="125" t="s">
        <v>20</v>
      </c>
      <c r="D76" s="70">
        <f>D78+D80+D77+D79</f>
        <v>60733.102000000014</v>
      </c>
      <c r="E76" s="70">
        <f t="shared" ref="E76:G76" si="133">E78+E80+E77+E79</f>
        <v>60314.812000000005</v>
      </c>
      <c r="F76" s="70">
        <f t="shared" si="133"/>
        <v>54505.55</v>
      </c>
      <c r="G76" s="70">
        <f t="shared" si="133"/>
        <v>54505.55</v>
      </c>
      <c r="H76" s="62">
        <f t="shared" si="128"/>
        <v>89.746033390489416</v>
      </c>
      <c r="I76" s="62">
        <f>IFERROR(G76/E76*100,0)</f>
        <v>90.3684322186066</v>
      </c>
      <c r="J76" s="58">
        <f t="shared" ref="J76:AG76" si="134">J78+J80+J77</f>
        <v>518.59899999999993</v>
      </c>
      <c r="K76" s="58">
        <f t="shared" si="134"/>
        <v>418.6</v>
      </c>
      <c r="L76" s="58">
        <f t="shared" si="134"/>
        <v>81.510000000000005</v>
      </c>
      <c r="M76" s="58">
        <f t="shared" si="134"/>
        <v>111.495</v>
      </c>
      <c r="N76" s="58">
        <f t="shared" si="134"/>
        <v>1447.12</v>
      </c>
      <c r="O76" s="58">
        <f t="shared" si="134"/>
        <v>1447.1189999999999</v>
      </c>
      <c r="P76" s="58">
        <f t="shared" si="134"/>
        <v>13699.06</v>
      </c>
      <c r="Q76" s="58">
        <f t="shared" si="134"/>
        <v>11329.14</v>
      </c>
      <c r="R76" s="58">
        <f t="shared" si="134"/>
        <v>2835.0949999999998</v>
      </c>
      <c r="S76" s="58">
        <f t="shared" si="134"/>
        <v>2121.08</v>
      </c>
      <c r="T76" s="58">
        <f t="shared" si="134"/>
        <v>11759.248000000001</v>
      </c>
      <c r="U76" s="58">
        <f t="shared" si="134"/>
        <v>9218.3260000000009</v>
      </c>
      <c r="V76" s="58">
        <f t="shared" si="134"/>
        <v>10798.150000000001</v>
      </c>
      <c r="W76" s="58">
        <f t="shared" si="134"/>
        <v>10798.15</v>
      </c>
      <c r="X76" s="58">
        <f t="shared" si="134"/>
        <v>5000</v>
      </c>
      <c r="Y76" s="58">
        <f t="shared" si="134"/>
        <v>5000</v>
      </c>
      <c r="Z76" s="58">
        <f t="shared" si="134"/>
        <v>3637.0200000000004</v>
      </c>
      <c r="AA76" s="58">
        <f t="shared" si="134"/>
        <v>5159.09</v>
      </c>
      <c r="AB76" s="58">
        <f t="shared" si="134"/>
        <v>2469.1</v>
      </c>
      <c r="AC76" s="58">
        <f t="shared" si="134"/>
        <v>832.64</v>
      </c>
      <c r="AD76" s="58">
        <f t="shared" si="134"/>
        <v>418.29</v>
      </c>
      <c r="AE76" s="58">
        <f t="shared" si="134"/>
        <v>0</v>
      </c>
      <c r="AF76" s="58">
        <f t="shared" si="134"/>
        <v>0</v>
      </c>
      <c r="AG76" s="58">
        <f t="shared" si="134"/>
        <v>0</v>
      </c>
      <c r="AH76" s="60"/>
      <c r="AI76" s="23"/>
    </row>
    <row r="77" spans="1:35" s="21" customFormat="1" ht="7.5" hidden="1" customHeight="1" x14ac:dyDescent="0.25">
      <c r="A77" s="127"/>
      <c r="B77" s="517"/>
      <c r="C77" s="126" t="s">
        <v>52</v>
      </c>
      <c r="D77" s="74">
        <f>SUM(J77,L77,N77,P77,R77,T77,V77,X77,Z77,AB77,AD77,AF77)</f>
        <v>0</v>
      </c>
      <c r="E77" s="62">
        <f>J77+L77+N77+P77+R77</f>
        <v>0</v>
      </c>
      <c r="F77" s="62">
        <f>G77</f>
        <v>0</v>
      </c>
      <c r="G77" s="62">
        <f>SUM(K77,M77,O77,Q77,S77,U77,W77,Y77,AA77,AC77,AE77,AG77)</f>
        <v>0</v>
      </c>
      <c r="H77" s="62">
        <f t="shared" si="128"/>
        <v>0</v>
      </c>
      <c r="I77" s="62">
        <f t="shared" si="129"/>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517"/>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8"/>
        <v>86.894533854256011</v>
      </c>
      <c r="I78" s="62">
        <f t="shared" si="129"/>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357</v>
      </c>
      <c r="AI78" s="23"/>
    </row>
    <row r="79" spans="1:35" s="21" customFormat="1" ht="71.25" customHeight="1" x14ac:dyDescent="0.25">
      <c r="A79" s="127"/>
      <c r="B79" s="517"/>
      <c r="C79" s="126" t="s">
        <v>337</v>
      </c>
      <c r="D79" s="74">
        <f>SUM(J79,L79,N79,P79,R79,T79,V79,X79,Z79,AB79,AD79,AF79)</f>
        <v>8069.91</v>
      </c>
      <c r="E79" s="62">
        <f t="shared" ref="E79" si="135">J79+L79+N79+P79+R79+T79+V79+X79+Z79+AB79</f>
        <v>8069.91</v>
      </c>
      <c r="F79" s="62">
        <f>G79</f>
        <v>8069.91</v>
      </c>
      <c r="G79" s="62">
        <f>SUM(K79,M79,O79,Q79,S79,U79,W79,Y79,AA79,AC79,AE79,AG79)</f>
        <v>8069.91</v>
      </c>
      <c r="H79" s="62">
        <f t="shared" ref="H79" si="136">IFERROR(G79/D79*100,0)</f>
        <v>100</v>
      </c>
      <c r="I79" s="62">
        <f t="shared" ref="I79" si="137">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528"/>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508" t="s">
        <v>258</v>
      </c>
      <c r="B81" s="514" t="s">
        <v>259</v>
      </c>
      <c r="C81" s="123" t="s">
        <v>20</v>
      </c>
      <c r="D81" s="70">
        <f>D82</f>
        <v>83400.797000000006</v>
      </c>
      <c r="E81" s="70">
        <f t="shared" ref="E81:G81" si="138">E82</f>
        <v>67842.216</v>
      </c>
      <c r="F81" s="70">
        <f t="shared" si="138"/>
        <v>50336.74500000001</v>
      </c>
      <c r="G81" s="70">
        <f t="shared" si="138"/>
        <v>50336.74500000001</v>
      </c>
      <c r="H81" s="70">
        <f t="shared" si="128"/>
        <v>60.355232576494458</v>
      </c>
      <c r="I81" s="70">
        <f t="shared" si="129"/>
        <v>74.196787734645937</v>
      </c>
      <c r="J81" s="71">
        <f t="shared" ref="J81:AG81" si="139">SUM(J82:J82)</f>
        <v>14188.016</v>
      </c>
      <c r="K81" s="71">
        <f t="shared" si="139"/>
        <v>10469.1</v>
      </c>
      <c r="L81" s="71">
        <f t="shared" si="139"/>
        <v>9474.8709999999992</v>
      </c>
      <c r="M81" s="71">
        <f t="shared" si="139"/>
        <v>7833.5049999999992</v>
      </c>
      <c r="N81" s="71">
        <f t="shared" si="139"/>
        <v>7719.646999999999</v>
      </c>
      <c r="O81" s="71">
        <f t="shared" si="139"/>
        <v>8012.85</v>
      </c>
      <c r="P81" s="71">
        <f t="shared" si="139"/>
        <v>10438.242999999999</v>
      </c>
      <c r="Q81" s="71">
        <f t="shared" si="139"/>
        <v>10574.71</v>
      </c>
      <c r="R81" s="71">
        <f t="shared" si="139"/>
        <v>7092.9680000000008</v>
      </c>
      <c r="S81" s="71">
        <f t="shared" si="139"/>
        <v>6871.2000000000007</v>
      </c>
      <c r="T81" s="71">
        <f t="shared" si="139"/>
        <v>5483.1509999999998</v>
      </c>
      <c r="U81" s="71">
        <f t="shared" si="139"/>
        <v>4893.1099999999997</v>
      </c>
      <c r="V81" s="71">
        <f t="shared" si="139"/>
        <v>180.77099999999999</v>
      </c>
      <c r="W81" s="71">
        <f t="shared" si="139"/>
        <v>0</v>
      </c>
      <c r="X81" s="71">
        <f t="shared" si="139"/>
        <v>182.27199999999999</v>
      </c>
      <c r="Y81" s="71">
        <f t="shared" si="139"/>
        <v>0</v>
      </c>
      <c r="Z81" s="71">
        <f t="shared" si="139"/>
        <v>1281.3400000000001</v>
      </c>
      <c r="AA81" s="71">
        <f t="shared" si="139"/>
        <v>1055.98</v>
      </c>
      <c r="AB81" s="71">
        <f t="shared" si="139"/>
        <v>11800.937</v>
      </c>
      <c r="AC81" s="71">
        <f t="shared" si="139"/>
        <v>626.29</v>
      </c>
      <c r="AD81" s="71">
        <f t="shared" si="139"/>
        <v>5395.8029999999999</v>
      </c>
      <c r="AE81" s="71">
        <f t="shared" si="139"/>
        <v>0</v>
      </c>
      <c r="AF81" s="71">
        <f t="shared" si="139"/>
        <v>10162.778</v>
      </c>
      <c r="AG81" s="71">
        <f t="shared" si="139"/>
        <v>0</v>
      </c>
      <c r="AH81" s="72"/>
      <c r="AI81" s="29"/>
    </row>
    <row r="82" spans="1:35" s="31" customFormat="1" ht="72" customHeight="1" x14ac:dyDescent="0.25">
      <c r="A82" s="509"/>
      <c r="B82" s="515"/>
      <c r="C82" s="124" t="s">
        <v>21</v>
      </c>
      <c r="D82" s="74">
        <f>SUM(J82,L82,N82,P82,R82,T82,V82,X82,Z82,AB82,AD82,AF82)</f>
        <v>83400.797000000006</v>
      </c>
      <c r="E82" s="74">
        <f>J82+L82+N82+P82+R82+T82+V82+X82+Z82+AB82</f>
        <v>67842.216</v>
      </c>
      <c r="F82" s="74">
        <f>G82</f>
        <v>50336.74500000001</v>
      </c>
      <c r="G82" s="74">
        <f>SUM(K82,M82,O82,Q82,S82,U82,W82,Y82,AA82,AC82,AE82,AG82)</f>
        <v>50336.74500000001</v>
      </c>
      <c r="H82" s="74">
        <f t="shared" si="128"/>
        <v>60.355232576494458</v>
      </c>
      <c r="I82" s="74">
        <f t="shared" si="129"/>
        <v>74.196787734645937</v>
      </c>
      <c r="J82" s="67">
        <f>J85+J87+J89+J91+J93</f>
        <v>14188.016</v>
      </c>
      <c r="K82" s="67">
        <f t="shared" ref="K82:AG82" si="140">K85+K87+K89+K91+K93</f>
        <v>10469.1</v>
      </c>
      <c r="L82" s="67">
        <f t="shared" si="140"/>
        <v>9474.8709999999992</v>
      </c>
      <c r="M82" s="67">
        <f t="shared" si="140"/>
        <v>7833.5049999999992</v>
      </c>
      <c r="N82" s="67">
        <f t="shared" si="140"/>
        <v>7719.646999999999</v>
      </c>
      <c r="O82" s="67">
        <f t="shared" si="140"/>
        <v>8012.85</v>
      </c>
      <c r="P82" s="67">
        <f t="shared" si="140"/>
        <v>10438.242999999999</v>
      </c>
      <c r="Q82" s="67">
        <f t="shared" si="140"/>
        <v>10574.71</v>
      </c>
      <c r="R82" s="67">
        <f t="shared" si="140"/>
        <v>7092.9680000000008</v>
      </c>
      <c r="S82" s="67">
        <f t="shared" si="140"/>
        <v>6871.2000000000007</v>
      </c>
      <c r="T82" s="67">
        <f t="shared" si="140"/>
        <v>5483.1509999999998</v>
      </c>
      <c r="U82" s="67">
        <f t="shared" si="140"/>
        <v>4893.1099999999997</v>
      </c>
      <c r="V82" s="67">
        <f t="shared" si="140"/>
        <v>180.77099999999999</v>
      </c>
      <c r="W82" s="67">
        <f t="shared" si="140"/>
        <v>0</v>
      </c>
      <c r="X82" s="67">
        <f t="shared" si="140"/>
        <v>182.27199999999999</v>
      </c>
      <c r="Y82" s="67">
        <f t="shared" si="140"/>
        <v>0</v>
      </c>
      <c r="Z82" s="67">
        <f t="shared" si="140"/>
        <v>1281.3400000000001</v>
      </c>
      <c r="AA82" s="67">
        <f t="shared" si="140"/>
        <v>1055.98</v>
      </c>
      <c r="AB82" s="67">
        <f t="shared" si="140"/>
        <v>11800.937</v>
      </c>
      <c r="AC82" s="67">
        <f t="shared" si="140"/>
        <v>626.29</v>
      </c>
      <c r="AD82" s="67">
        <f t="shared" si="140"/>
        <v>5395.8029999999999</v>
      </c>
      <c r="AE82" s="67">
        <f t="shared" si="140"/>
        <v>0</v>
      </c>
      <c r="AF82" s="67">
        <f t="shared" si="140"/>
        <v>10162.778</v>
      </c>
      <c r="AG82" s="67">
        <f t="shared" si="140"/>
        <v>0</v>
      </c>
      <c r="AH82" s="75"/>
      <c r="AI82" s="29"/>
    </row>
    <row r="83" spans="1:35" s="10" customFormat="1" ht="30.75" customHeight="1" x14ac:dyDescent="0.25">
      <c r="A83" s="508"/>
      <c r="B83" s="516" t="s">
        <v>260</v>
      </c>
      <c r="C83" s="123" t="s">
        <v>20</v>
      </c>
      <c r="D83" s="70">
        <f>D85+D84</f>
        <v>12465.899999999998</v>
      </c>
      <c r="E83" s="70">
        <f t="shared" ref="E83:I83" si="141">E85+E84</f>
        <v>11974.899999999998</v>
      </c>
      <c r="F83" s="70">
        <f t="shared" si="141"/>
        <v>10922.191999999999</v>
      </c>
      <c r="G83" s="70">
        <f t="shared" si="141"/>
        <v>10922.191999999999</v>
      </c>
      <c r="H83" s="70">
        <f t="shared" si="141"/>
        <v>90.663921838813309</v>
      </c>
      <c r="I83" s="70">
        <f t="shared" si="141"/>
        <v>94.516151922394627</v>
      </c>
      <c r="J83" s="71">
        <f t="shared" ref="J83:AG83" si="142">SUM(J85:J85)</f>
        <v>902.625</v>
      </c>
      <c r="K83" s="71">
        <f t="shared" si="142"/>
        <v>837.72</v>
      </c>
      <c r="L83" s="71">
        <f t="shared" si="142"/>
        <v>3086.0750000000003</v>
      </c>
      <c r="M83" s="71">
        <f t="shared" si="142"/>
        <v>2998.502</v>
      </c>
      <c r="N83" s="71">
        <f t="shared" si="142"/>
        <v>795.5</v>
      </c>
      <c r="O83" s="71">
        <f t="shared" si="142"/>
        <v>826.52</v>
      </c>
      <c r="P83" s="71">
        <f t="shared" si="142"/>
        <v>4379.2199999999993</v>
      </c>
      <c r="Q83" s="71">
        <f t="shared" si="142"/>
        <v>4466.2</v>
      </c>
      <c r="R83" s="71">
        <f t="shared" si="142"/>
        <v>768.88</v>
      </c>
      <c r="S83" s="71">
        <f t="shared" si="142"/>
        <v>715.48</v>
      </c>
      <c r="T83" s="71">
        <f t="shared" si="142"/>
        <v>521.29999999999995</v>
      </c>
      <c r="U83" s="71">
        <f t="shared" si="142"/>
        <v>21.79</v>
      </c>
      <c r="V83" s="71">
        <f t="shared" si="142"/>
        <v>0</v>
      </c>
      <c r="W83" s="71">
        <f t="shared" si="142"/>
        <v>0</v>
      </c>
      <c r="X83" s="71">
        <f t="shared" si="142"/>
        <v>0</v>
      </c>
      <c r="Y83" s="71">
        <f t="shared" si="142"/>
        <v>0</v>
      </c>
      <c r="Z83" s="71">
        <f t="shared" si="142"/>
        <v>944.72</v>
      </c>
      <c r="AA83" s="71">
        <f t="shared" si="142"/>
        <v>1055.98</v>
      </c>
      <c r="AB83" s="71">
        <f t="shared" si="142"/>
        <v>157.57999999999998</v>
      </c>
      <c r="AC83" s="71">
        <f t="shared" si="142"/>
        <v>0</v>
      </c>
      <c r="AD83" s="71">
        <f t="shared" si="142"/>
        <v>0</v>
      </c>
      <c r="AE83" s="71">
        <f t="shared" si="142"/>
        <v>0</v>
      </c>
      <c r="AF83" s="71">
        <f t="shared" si="142"/>
        <v>491.00000000000057</v>
      </c>
      <c r="AG83" s="71">
        <f t="shared" si="142"/>
        <v>0</v>
      </c>
      <c r="AH83" s="72"/>
    </row>
    <row r="84" spans="1:35" s="10" customFormat="1" ht="30.75" customHeight="1" x14ac:dyDescent="0.25">
      <c r="A84" s="529"/>
      <c r="B84" s="517"/>
      <c r="C84" s="124" t="s">
        <v>347</v>
      </c>
      <c r="D84" s="74">
        <f>SUM(J84,L84,N84,P84,R84,T84,V84,X84,Z84,AB84,AD84,AF84)</f>
        <v>419</v>
      </c>
      <c r="E84" s="74">
        <f>J84+L84+N84+P84+R84+T84+V84+X84+Z84+AB84</f>
        <v>419</v>
      </c>
      <c r="F84" s="74">
        <f>G84</f>
        <v>0</v>
      </c>
      <c r="G84" s="74">
        <f>SUM(K84,M84,O84,Q84,S84,U84,W84,Y84,AA84,AC84,AE84,AG84)</f>
        <v>0</v>
      </c>
      <c r="H84" s="74">
        <f t="shared" ref="H84" si="143">IFERROR(G84/D84*100,0)</f>
        <v>0</v>
      </c>
      <c r="I84" s="74">
        <f t="shared" ref="I84" si="144">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509"/>
      <c r="B85" s="517"/>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8"/>
        <v>90.663921838813309</v>
      </c>
      <c r="I85" s="74">
        <f t="shared" si="129"/>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508"/>
      <c r="B86" s="510" t="s">
        <v>261</v>
      </c>
      <c r="C86" s="123" t="s">
        <v>20</v>
      </c>
      <c r="D86" s="70">
        <f>D87</f>
        <v>1000</v>
      </c>
      <c r="E86" s="70">
        <f t="shared" ref="E86:G92" si="145">E87</f>
        <v>1000</v>
      </c>
      <c r="F86" s="70">
        <f t="shared" si="145"/>
        <v>634.68999999999994</v>
      </c>
      <c r="G86" s="70">
        <f t="shared" si="145"/>
        <v>634.68999999999994</v>
      </c>
      <c r="H86" s="70">
        <f t="shared" si="128"/>
        <v>63.468999999999994</v>
      </c>
      <c r="I86" s="70">
        <f t="shared" si="129"/>
        <v>63.468999999999994</v>
      </c>
      <c r="J86" s="71">
        <f t="shared" ref="J86:AG92" si="146">SUM(J87:J87)</f>
        <v>0</v>
      </c>
      <c r="K86" s="71">
        <f t="shared" si="146"/>
        <v>0</v>
      </c>
      <c r="L86" s="71">
        <f t="shared" si="146"/>
        <v>0</v>
      </c>
      <c r="M86" s="71">
        <f t="shared" si="146"/>
        <v>0</v>
      </c>
      <c r="N86" s="71">
        <f t="shared" si="146"/>
        <v>8.4</v>
      </c>
      <c r="O86" s="71">
        <f t="shared" si="146"/>
        <v>8.4</v>
      </c>
      <c r="P86" s="71">
        <f t="shared" si="146"/>
        <v>0</v>
      </c>
      <c r="Q86" s="71">
        <f t="shared" si="146"/>
        <v>0</v>
      </c>
      <c r="R86" s="71">
        <f t="shared" si="146"/>
        <v>0</v>
      </c>
      <c r="S86" s="71">
        <f t="shared" si="146"/>
        <v>0</v>
      </c>
      <c r="T86" s="71">
        <f t="shared" si="146"/>
        <v>0</v>
      </c>
      <c r="U86" s="71">
        <f t="shared" si="146"/>
        <v>0</v>
      </c>
      <c r="V86" s="71">
        <f t="shared" si="146"/>
        <v>0</v>
      </c>
      <c r="W86" s="71">
        <f t="shared" si="146"/>
        <v>0</v>
      </c>
      <c r="X86" s="71">
        <f t="shared" si="146"/>
        <v>0</v>
      </c>
      <c r="Y86" s="71">
        <f t="shared" si="146"/>
        <v>0</v>
      </c>
      <c r="Z86" s="71">
        <f t="shared" si="146"/>
        <v>0</v>
      </c>
      <c r="AA86" s="71">
        <f t="shared" si="146"/>
        <v>0</v>
      </c>
      <c r="AB86" s="71">
        <f t="shared" si="146"/>
        <v>991.6</v>
      </c>
      <c r="AC86" s="71">
        <f t="shared" si="146"/>
        <v>626.29</v>
      </c>
      <c r="AD86" s="71">
        <f t="shared" si="146"/>
        <v>0</v>
      </c>
      <c r="AE86" s="71">
        <f t="shared" si="146"/>
        <v>0</v>
      </c>
      <c r="AF86" s="71">
        <f t="shared" si="146"/>
        <v>0</v>
      </c>
      <c r="AG86" s="71">
        <f t="shared" si="146"/>
        <v>0</v>
      </c>
      <c r="AH86" s="72"/>
    </row>
    <row r="87" spans="1:35" s="10" customFormat="1" ht="67.5" customHeight="1" x14ac:dyDescent="0.25">
      <c r="A87" s="509"/>
      <c r="B87" s="510"/>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8"/>
        <v>63.468999999999994</v>
      </c>
      <c r="I87" s="74">
        <f t="shared" si="129"/>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508"/>
      <c r="B88" s="510" t="s">
        <v>262</v>
      </c>
      <c r="C88" s="123" t="s">
        <v>20</v>
      </c>
      <c r="D88" s="70">
        <f>D89</f>
        <v>6407.2979999999989</v>
      </c>
      <c r="E88" s="70">
        <f t="shared" si="145"/>
        <v>4575.5969999999998</v>
      </c>
      <c r="F88" s="70">
        <f t="shared" si="145"/>
        <v>4575.6000000000004</v>
      </c>
      <c r="G88" s="70">
        <f t="shared" si="145"/>
        <v>4575.6000000000004</v>
      </c>
      <c r="H88" s="70">
        <f t="shared" si="128"/>
        <v>71.412317641539403</v>
      </c>
      <c r="I88" s="70">
        <f t="shared" si="129"/>
        <v>100.0000655652148</v>
      </c>
      <c r="J88" s="71">
        <f t="shared" si="146"/>
        <v>507.31400000000002</v>
      </c>
      <c r="K88" s="71">
        <f t="shared" si="146"/>
        <v>507.31</v>
      </c>
      <c r="L88" s="71">
        <f t="shared" si="146"/>
        <v>501.56599999999997</v>
      </c>
      <c r="M88" s="71">
        <f t="shared" si="146"/>
        <v>0</v>
      </c>
      <c r="N88" s="71">
        <f t="shared" si="146"/>
        <v>1313.865</v>
      </c>
      <c r="O88" s="71">
        <f t="shared" si="146"/>
        <v>1815.43</v>
      </c>
      <c r="P88" s="71">
        <f t="shared" si="146"/>
        <v>500.54399999999998</v>
      </c>
      <c r="Q88" s="71">
        <f t="shared" si="146"/>
        <v>500.54</v>
      </c>
      <c r="R88" s="71">
        <f t="shared" si="146"/>
        <v>790.45699999999999</v>
      </c>
      <c r="S88" s="71">
        <f t="shared" si="146"/>
        <v>790.46</v>
      </c>
      <c r="T88" s="71">
        <f t="shared" si="146"/>
        <v>961.851</v>
      </c>
      <c r="U88" s="71">
        <f t="shared" si="146"/>
        <v>961.86</v>
      </c>
      <c r="V88" s="71">
        <f t="shared" si="146"/>
        <v>180.77099999999999</v>
      </c>
      <c r="W88" s="71">
        <f t="shared" si="146"/>
        <v>0</v>
      </c>
      <c r="X88" s="71">
        <f t="shared" si="146"/>
        <v>182.27199999999999</v>
      </c>
      <c r="Y88" s="71">
        <f t="shared" si="146"/>
        <v>0</v>
      </c>
      <c r="Z88" s="71">
        <f t="shared" si="146"/>
        <v>336.62</v>
      </c>
      <c r="AA88" s="71">
        <f t="shared" si="146"/>
        <v>0</v>
      </c>
      <c r="AB88" s="71">
        <f t="shared" si="146"/>
        <v>351.75700000000001</v>
      </c>
      <c r="AC88" s="71">
        <f t="shared" si="146"/>
        <v>0</v>
      </c>
      <c r="AD88" s="71">
        <f t="shared" si="146"/>
        <v>395.803</v>
      </c>
      <c r="AE88" s="71">
        <f t="shared" si="146"/>
        <v>0</v>
      </c>
      <c r="AF88" s="71">
        <f t="shared" si="146"/>
        <v>384.47800000000001</v>
      </c>
      <c r="AG88" s="71">
        <f t="shared" si="146"/>
        <v>0</v>
      </c>
      <c r="AH88" s="72"/>
    </row>
    <row r="89" spans="1:35" s="10" customFormat="1" ht="48.75" customHeight="1" x14ac:dyDescent="0.25">
      <c r="A89" s="509"/>
      <c r="B89" s="510"/>
      <c r="C89" s="124" t="s">
        <v>21</v>
      </c>
      <c r="D89" s="74">
        <f>SUM(J89,L89,N89,P89,R89,T89,V89,X89,Z89,AB89,AD89,AF89)</f>
        <v>6407.2979999999989</v>
      </c>
      <c r="E89" s="74">
        <f>J89+L89+N89+P89+R89+T89</f>
        <v>4575.5969999999998</v>
      </c>
      <c r="F89" s="74">
        <f>G89</f>
        <v>4575.6000000000004</v>
      </c>
      <c r="G89" s="74">
        <f>SUM(K89,M89,O89,Q89,S89,U89,W89,Y89,AA89,AC89,AE89,AG89)</f>
        <v>4575.6000000000004</v>
      </c>
      <c r="H89" s="74">
        <f t="shared" si="128"/>
        <v>71.412317641539403</v>
      </c>
      <c r="I89" s="74">
        <f t="shared" si="129"/>
        <v>100.0000655652148</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0</v>
      </c>
      <c r="X89" s="67">
        <v>182.27199999999999</v>
      </c>
      <c r="Y89" s="67">
        <v>0</v>
      </c>
      <c r="Z89" s="67">
        <v>336.62</v>
      </c>
      <c r="AA89" s="67">
        <v>0</v>
      </c>
      <c r="AB89" s="67">
        <f>427.217-75.46</f>
        <v>351.75700000000001</v>
      </c>
      <c r="AC89" s="67">
        <v>0</v>
      </c>
      <c r="AD89" s="67">
        <v>395.803</v>
      </c>
      <c r="AE89" s="67">
        <v>0</v>
      </c>
      <c r="AF89" s="67">
        <v>384.47800000000001</v>
      </c>
      <c r="AG89" s="67">
        <v>0</v>
      </c>
      <c r="AH89" s="75"/>
    </row>
    <row r="90" spans="1:35" s="10" customFormat="1" ht="23.25" customHeight="1" x14ac:dyDescent="0.25">
      <c r="A90" s="508"/>
      <c r="B90" s="510" t="s">
        <v>263</v>
      </c>
      <c r="C90" s="123" t="s">
        <v>20</v>
      </c>
      <c r="D90" s="70">
        <f>D91</f>
        <v>56087.298999999999</v>
      </c>
      <c r="E90" s="70">
        <f t="shared" si="145"/>
        <v>31499.999</v>
      </c>
      <c r="F90" s="70">
        <f t="shared" si="145"/>
        <v>26344.962999999996</v>
      </c>
      <c r="G90" s="70">
        <f t="shared" si="145"/>
        <v>26344.962999999996</v>
      </c>
      <c r="H90" s="70">
        <f t="shared" si="128"/>
        <v>46.971352640818012</v>
      </c>
      <c r="I90" s="70">
        <f t="shared" si="129"/>
        <v>83.634805829676367</v>
      </c>
      <c r="J90" s="71">
        <f t="shared" si="146"/>
        <v>4918.777</v>
      </c>
      <c r="K90" s="71">
        <f t="shared" si="146"/>
        <v>1264.77</v>
      </c>
      <c r="L90" s="71">
        <f t="shared" si="146"/>
        <v>5887.23</v>
      </c>
      <c r="M90" s="71">
        <f t="shared" si="146"/>
        <v>4835.0029999999997</v>
      </c>
      <c r="N90" s="71">
        <f t="shared" si="146"/>
        <v>5601.8819999999996</v>
      </c>
      <c r="O90" s="71">
        <f t="shared" si="146"/>
        <v>5362.5</v>
      </c>
      <c r="P90" s="71">
        <f t="shared" si="146"/>
        <v>5558.4790000000003</v>
      </c>
      <c r="Q90" s="71">
        <f t="shared" si="146"/>
        <v>5607.97</v>
      </c>
      <c r="R90" s="71">
        <f t="shared" si="146"/>
        <v>5533.6310000000003</v>
      </c>
      <c r="S90" s="71">
        <f t="shared" si="146"/>
        <v>5365.26</v>
      </c>
      <c r="T90" s="71">
        <f t="shared" si="146"/>
        <v>4000</v>
      </c>
      <c r="U90" s="71">
        <f t="shared" si="146"/>
        <v>3909.46</v>
      </c>
      <c r="V90" s="71">
        <f t="shared" si="146"/>
        <v>0</v>
      </c>
      <c r="W90" s="71">
        <f t="shared" si="146"/>
        <v>0</v>
      </c>
      <c r="X90" s="71">
        <f t="shared" si="146"/>
        <v>0</v>
      </c>
      <c r="Y90" s="71">
        <f t="shared" si="146"/>
        <v>0</v>
      </c>
      <c r="Z90" s="71">
        <f t="shared" si="146"/>
        <v>0</v>
      </c>
      <c r="AA90" s="71">
        <f t="shared" si="146"/>
        <v>0</v>
      </c>
      <c r="AB90" s="71">
        <f t="shared" si="146"/>
        <v>10300</v>
      </c>
      <c r="AC90" s="71">
        <f t="shared" si="146"/>
        <v>0</v>
      </c>
      <c r="AD90" s="71">
        <f t="shared" si="146"/>
        <v>5000</v>
      </c>
      <c r="AE90" s="71">
        <f t="shared" si="146"/>
        <v>0</v>
      </c>
      <c r="AF90" s="71">
        <f t="shared" si="146"/>
        <v>9287.2999999999993</v>
      </c>
      <c r="AG90" s="71">
        <f t="shared" si="146"/>
        <v>0</v>
      </c>
      <c r="AH90" s="72"/>
    </row>
    <row r="91" spans="1:35" s="10" customFormat="1" ht="41.25" customHeight="1" x14ac:dyDescent="0.25">
      <c r="A91" s="509"/>
      <c r="B91" s="510"/>
      <c r="C91" s="124" t="s">
        <v>21</v>
      </c>
      <c r="D91" s="74">
        <f>SUM(J91,L91,N91,P91,R91,T91,V91,X91,Z91,AB91,AD91,AF91)</f>
        <v>56087.298999999999</v>
      </c>
      <c r="E91" s="74">
        <f>J91+L91+N91+P91+R91+T91</f>
        <v>31499.999</v>
      </c>
      <c r="F91" s="74">
        <f>G91</f>
        <v>26344.962999999996</v>
      </c>
      <c r="G91" s="74">
        <f>SUM(K91,M91,O91,Q91,S91,U91,W91,Y91,AA91,AC91,AE91,AG91)</f>
        <v>26344.962999999996</v>
      </c>
      <c r="H91" s="74">
        <f t="shared" si="128"/>
        <v>46.971352640818012</v>
      </c>
      <c r="I91" s="74">
        <f t="shared" si="129"/>
        <v>83.634805829676367</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v>10300</v>
      </c>
      <c r="AC91" s="67">
        <v>0</v>
      </c>
      <c r="AD91" s="67">
        <v>5000</v>
      </c>
      <c r="AE91" s="67">
        <v>0</v>
      </c>
      <c r="AF91" s="67">
        <v>9287.2999999999993</v>
      </c>
      <c r="AG91" s="67">
        <v>0</v>
      </c>
      <c r="AH91" s="75" t="s">
        <v>355</v>
      </c>
    </row>
    <row r="92" spans="1:35" s="10" customFormat="1" ht="23.25" customHeight="1" x14ac:dyDescent="0.25">
      <c r="A92" s="508"/>
      <c r="B92" s="510" t="s">
        <v>264</v>
      </c>
      <c r="C92" s="123" t="s">
        <v>20</v>
      </c>
      <c r="D92" s="70">
        <f>D93</f>
        <v>7859.3</v>
      </c>
      <c r="E92" s="70">
        <f t="shared" si="145"/>
        <v>7859.3</v>
      </c>
      <c r="F92" s="70">
        <f t="shared" si="145"/>
        <v>7859.3</v>
      </c>
      <c r="G92" s="70">
        <f t="shared" si="145"/>
        <v>7859.3</v>
      </c>
      <c r="H92" s="70">
        <f t="shared" si="128"/>
        <v>100</v>
      </c>
      <c r="I92" s="70">
        <f t="shared" si="129"/>
        <v>100</v>
      </c>
      <c r="J92" s="71">
        <f t="shared" si="146"/>
        <v>7859.3</v>
      </c>
      <c r="K92" s="71">
        <f t="shared" si="146"/>
        <v>7859.3</v>
      </c>
      <c r="L92" s="71">
        <f t="shared" si="146"/>
        <v>0</v>
      </c>
      <c r="M92" s="71">
        <f t="shared" si="146"/>
        <v>0</v>
      </c>
      <c r="N92" s="71">
        <f t="shared" si="146"/>
        <v>0</v>
      </c>
      <c r="O92" s="71">
        <f t="shared" si="146"/>
        <v>0</v>
      </c>
      <c r="P92" s="71">
        <f t="shared" si="146"/>
        <v>0</v>
      </c>
      <c r="Q92" s="71">
        <f t="shared" si="146"/>
        <v>0</v>
      </c>
      <c r="R92" s="71">
        <f t="shared" si="146"/>
        <v>0</v>
      </c>
      <c r="S92" s="71">
        <f t="shared" si="146"/>
        <v>0</v>
      </c>
      <c r="T92" s="71">
        <f t="shared" si="146"/>
        <v>0</v>
      </c>
      <c r="U92" s="71">
        <f t="shared" si="146"/>
        <v>0</v>
      </c>
      <c r="V92" s="71">
        <f t="shared" si="146"/>
        <v>0</v>
      </c>
      <c r="W92" s="71">
        <f t="shared" si="146"/>
        <v>0</v>
      </c>
      <c r="X92" s="71">
        <f t="shared" si="146"/>
        <v>0</v>
      </c>
      <c r="Y92" s="71">
        <f t="shared" si="146"/>
        <v>0</v>
      </c>
      <c r="Z92" s="71">
        <f t="shared" si="146"/>
        <v>0</v>
      </c>
      <c r="AA92" s="71">
        <f t="shared" si="146"/>
        <v>0</v>
      </c>
      <c r="AB92" s="71">
        <f t="shared" si="146"/>
        <v>0</v>
      </c>
      <c r="AC92" s="71">
        <f t="shared" si="146"/>
        <v>0</v>
      </c>
      <c r="AD92" s="71">
        <f t="shared" si="146"/>
        <v>0</v>
      </c>
      <c r="AE92" s="71">
        <f t="shared" si="146"/>
        <v>0</v>
      </c>
      <c r="AF92" s="71">
        <f t="shared" si="146"/>
        <v>0</v>
      </c>
      <c r="AG92" s="71">
        <f t="shared" si="146"/>
        <v>0</v>
      </c>
      <c r="AH92" s="72"/>
    </row>
    <row r="93" spans="1:35" s="10" customFormat="1" ht="41.25" customHeight="1" x14ac:dyDescent="0.25">
      <c r="A93" s="509"/>
      <c r="B93" s="510"/>
      <c r="C93" s="124" t="s">
        <v>21</v>
      </c>
      <c r="D93" s="74">
        <f>SUM(J93,L93,N93,P93,R93,T93,V93,X93,Z93,AB93,AD93,AF93)</f>
        <v>7859.3</v>
      </c>
      <c r="E93" s="74">
        <f>J93</f>
        <v>7859.3</v>
      </c>
      <c r="F93" s="74">
        <f>G93</f>
        <v>7859.3</v>
      </c>
      <c r="G93" s="74">
        <f>SUM(K93,M93,O93,Q93,S93,U93,W93,Y93,AA93,AC93,AE93,AG93)</f>
        <v>7859.3</v>
      </c>
      <c r="H93" s="74">
        <f t="shared" si="128"/>
        <v>100</v>
      </c>
      <c r="I93" s="74">
        <f t="shared" si="129"/>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511" t="s">
        <v>32</v>
      </c>
      <c r="C94" s="512"/>
      <c r="D94" s="512"/>
      <c r="E94" s="512"/>
      <c r="F94" s="512"/>
      <c r="G94" s="512"/>
      <c r="H94" s="512"/>
      <c r="I94" s="512"/>
      <c r="J94" s="512"/>
      <c r="K94" s="512"/>
      <c r="L94" s="512"/>
      <c r="M94" s="512"/>
      <c r="N94" s="512"/>
      <c r="O94" s="512"/>
      <c r="P94" s="512"/>
      <c r="Q94" s="512"/>
      <c r="R94" s="512"/>
      <c r="S94" s="512"/>
      <c r="T94" s="512"/>
      <c r="U94" s="512"/>
      <c r="V94" s="512"/>
      <c r="W94" s="512"/>
      <c r="X94" s="512"/>
      <c r="Y94" s="512"/>
      <c r="Z94" s="512"/>
      <c r="AA94" s="512"/>
      <c r="AB94" s="512"/>
      <c r="AC94" s="512"/>
      <c r="AD94" s="512"/>
      <c r="AE94" s="512"/>
      <c r="AF94" s="512"/>
      <c r="AG94" s="513"/>
      <c r="AH94" s="75"/>
    </row>
    <row r="95" spans="1:35" s="30" customFormat="1" ht="55.5" customHeight="1" x14ac:dyDescent="0.25">
      <c r="A95" s="508" t="s">
        <v>265</v>
      </c>
      <c r="B95" s="514" t="s">
        <v>266</v>
      </c>
      <c r="C95" s="123" t="s">
        <v>20</v>
      </c>
      <c r="D95" s="70">
        <f>D96</f>
        <v>71939.016000000003</v>
      </c>
      <c r="E95" s="70">
        <f t="shared" ref="E95:G95" si="147">E96</f>
        <v>19252.902999999998</v>
      </c>
      <c r="F95" s="70">
        <f t="shared" si="147"/>
        <v>19221.823</v>
      </c>
      <c r="G95" s="70">
        <f t="shared" si="147"/>
        <v>19221.823</v>
      </c>
      <c r="H95" s="70">
        <f t="shared" ref="H95:H100" si="148">IFERROR(G95/D95*100,0)</f>
        <v>26.719607896777458</v>
      </c>
      <c r="I95" s="70">
        <f t="shared" ref="I95:I100" si="149">IFERROR(G95/E95*100,0)</f>
        <v>99.838569799058362</v>
      </c>
      <c r="J95" s="71">
        <f t="shared" ref="J95:AG95" si="150">SUM(J96:J96)</f>
        <v>2080.7109999999998</v>
      </c>
      <c r="K95" s="71">
        <f t="shared" si="150"/>
        <v>2080.71</v>
      </c>
      <c r="L95" s="71">
        <f t="shared" si="150"/>
        <v>2341.0619999999999</v>
      </c>
      <c r="M95" s="71">
        <f t="shared" si="150"/>
        <v>2341.0630000000001</v>
      </c>
      <c r="N95" s="71">
        <f t="shared" si="150"/>
        <v>3158.08</v>
      </c>
      <c r="O95" s="71">
        <f t="shared" si="150"/>
        <v>3158.08</v>
      </c>
      <c r="P95" s="71">
        <f t="shared" si="150"/>
        <v>500</v>
      </c>
      <c r="Q95" s="71">
        <f t="shared" si="150"/>
        <v>0</v>
      </c>
      <c r="R95" s="71">
        <f t="shared" si="150"/>
        <v>1920.25</v>
      </c>
      <c r="S95" s="71">
        <f t="shared" si="150"/>
        <v>2389.17</v>
      </c>
      <c r="T95" s="71">
        <f t="shared" si="150"/>
        <v>9252.7999999999993</v>
      </c>
      <c r="U95" s="71">
        <f t="shared" si="150"/>
        <v>9252.7999999999993</v>
      </c>
      <c r="V95" s="71">
        <f t="shared" si="150"/>
        <v>0</v>
      </c>
      <c r="W95" s="71">
        <f t="shared" si="150"/>
        <v>0</v>
      </c>
      <c r="X95" s="71">
        <f t="shared" si="150"/>
        <v>48996.854999999996</v>
      </c>
      <c r="Y95" s="71">
        <f t="shared" si="150"/>
        <v>0</v>
      </c>
      <c r="Z95" s="71">
        <f t="shared" si="150"/>
        <v>0</v>
      </c>
      <c r="AA95" s="71">
        <f t="shared" si="150"/>
        <v>0</v>
      </c>
      <c r="AB95" s="71">
        <f t="shared" si="150"/>
        <v>0</v>
      </c>
      <c r="AC95" s="71">
        <f t="shared" si="150"/>
        <v>0</v>
      </c>
      <c r="AD95" s="71">
        <f t="shared" si="150"/>
        <v>0</v>
      </c>
      <c r="AE95" s="71">
        <f t="shared" si="150"/>
        <v>0</v>
      </c>
      <c r="AF95" s="71">
        <f t="shared" si="150"/>
        <v>3689.2579999999998</v>
      </c>
      <c r="AG95" s="71">
        <f t="shared" si="150"/>
        <v>0</v>
      </c>
      <c r="AH95" s="72"/>
      <c r="AI95" s="29"/>
    </row>
    <row r="96" spans="1:35" s="31" customFormat="1" ht="78.75" customHeight="1" x14ac:dyDescent="0.25">
      <c r="A96" s="509"/>
      <c r="B96" s="515"/>
      <c r="C96" s="124" t="s">
        <v>21</v>
      </c>
      <c r="D96" s="74">
        <f>SUM(J96,L96,N96,P96,R96,T96,V96,X96,Z96,AB96,AD96,AF96)</f>
        <v>71939.016000000003</v>
      </c>
      <c r="E96" s="74">
        <f>J96+L96+N96+P96+R96+T96</f>
        <v>19252.902999999998</v>
      </c>
      <c r="F96" s="74">
        <f>G96</f>
        <v>19221.823</v>
      </c>
      <c r="G96" s="74">
        <f>SUM(K96,M96,O96,Q96,S96,U96,W96,Y96,AA96,AC96,AE96,AG96)</f>
        <v>19221.823</v>
      </c>
      <c r="H96" s="74">
        <f t="shared" si="148"/>
        <v>26.719607896777458</v>
      </c>
      <c r="I96" s="74">
        <f>IFERROR(G96/E96*100,0)</f>
        <v>99.838569799058362</v>
      </c>
      <c r="J96" s="67">
        <f>J98+J100</f>
        <v>2080.7109999999998</v>
      </c>
      <c r="K96" s="67">
        <f t="shared" ref="K96:AG96" si="151">K98+K100</f>
        <v>2080.71</v>
      </c>
      <c r="L96" s="67">
        <f t="shared" si="151"/>
        <v>2341.0619999999999</v>
      </c>
      <c r="M96" s="67">
        <f t="shared" si="151"/>
        <v>2341.0630000000001</v>
      </c>
      <c r="N96" s="67">
        <f t="shared" si="151"/>
        <v>3158.08</v>
      </c>
      <c r="O96" s="67">
        <f t="shared" si="151"/>
        <v>3158.08</v>
      </c>
      <c r="P96" s="67">
        <f t="shared" si="151"/>
        <v>500</v>
      </c>
      <c r="Q96" s="67">
        <f t="shared" si="151"/>
        <v>0</v>
      </c>
      <c r="R96" s="67">
        <f t="shared" si="151"/>
        <v>1920.25</v>
      </c>
      <c r="S96" s="67">
        <f t="shared" si="151"/>
        <v>2389.17</v>
      </c>
      <c r="T96" s="67">
        <f>T98+T100</f>
        <v>9252.7999999999993</v>
      </c>
      <c r="U96" s="67">
        <f t="shared" si="151"/>
        <v>9252.7999999999993</v>
      </c>
      <c r="V96" s="67">
        <f t="shared" si="151"/>
        <v>0</v>
      </c>
      <c r="W96" s="67">
        <f t="shared" si="151"/>
        <v>0</v>
      </c>
      <c r="X96" s="67">
        <f t="shared" si="151"/>
        <v>48996.854999999996</v>
      </c>
      <c r="Y96" s="67">
        <f t="shared" si="151"/>
        <v>0</v>
      </c>
      <c r="Z96" s="67">
        <f t="shared" si="151"/>
        <v>0</v>
      </c>
      <c r="AA96" s="67">
        <f t="shared" si="151"/>
        <v>0</v>
      </c>
      <c r="AB96" s="67">
        <f t="shared" si="151"/>
        <v>0</v>
      </c>
      <c r="AC96" s="67">
        <f t="shared" si="151"/>
        <v>0</v>
      </c>
      <c r="AD96" s="67">
        <f t="shared" si="151"/>
        <v>0</v>
      </c>
      <c r="AE96" s="67">
        <f t="shared" si="151"/>
        <v>0</v>
      </c>
      <c r="AF96" s="67">
        <f t="shared" si="151"/>
        <v>3689.2579999999998</v>
      </c>
      <c r="AG96" s="67">
        <f t="shared" si="151"/>
        <v>0</v>
      </c>
      <c r="AH96" s="75"/>
      <c r="AI96" s="29"/>
    </row>
    <row r="97" spans="1:35" s="10" customFormat="1" ht="60" customHeight="1" x14ac:dyDescent="0.25">
      <c r="A97" s="508"/>
      <c r="B97" s="516" t="s">
        <v>267</v>
      </c>
      <c r="C97" s="123" t="s">
        <v>20</v>
      </c>
      <c r="D97" s="70">
        <f>D98</f>
        <v>62555.202999999994</v>
      </c>
      <c r="E97" s="70">
        <f t="shared" ref="E97:G97" si="152">E98</f>
        <v>19252.902999999998</v>
      </c>
      <c r="F97" s="70">
        <f t="shared" si="152"/>
        <v>19221.823</v>
      </c>
      <c r="G97" s="70">
        <f t="shared" si="152"/>
        <v>19221.823</v>
      </c>
      <c r="H97" s="70">
        <f t="shared" si="148"/>
        <v>30.727776552815282</v>
      </c>
      <c r="I97" s="70">
        <f t="shared" si="149"/>
        <v>99.838569799058362</v>
      </c>
      <c r="J97" s="71">
        <f t="shared" ref="J97:AG97" si="153">SUM(J98:J98)</f>
        <v>2080.7109999999998</v>
      </c>
      <c r="K97" s="71">
        <f t="shared" si="153"/>
        <v>2080.71</v>
      </c>
      <c r="L97" s="71">
        <f t="shared" si="153"/>
        <v>2341.0619999999999</v>
      </c>
      <c r="M97" s="71">
        <f t="shared" si="153"/>
        <v>2341.0630000000001</v>
      </c>
      <c r="N97" s="71">
        <f t="shared" si="153"/>
        <v>3158.08</v>
      </c>
      <c r="O97" s="71">
        <f t="shared" si="153"/>
        <v>3158.08</v>
      </c>
      <c r="P97" s="71">
        <f t="shared" si="153"/>
        <v>500</v>
      </c>
      <c r="Q97" s="71">
        <f t="shared" si="153"/>
        <v>0</v>
      </c>
      <c r="R97" s="71">
        <f t="shared" si="153"/>
        <v>1920.25</v>
      </c>
      <c r="S97" s="71">
        <f t="shared" si="153"/>
        <v>2389.17</v>
      </c>
      <c r="T97" s="71">
        <f t="shared" si="153"/>
        <v>9252.7999999999993</v>
      </c>
      <c r="U97" s="71">
        <f t="shared" si="153"/>
        <v>9252.7999999999993</v>
      </c>
      <c r="V97" s="71">
        <f t="shared" si="153"/>
        <v>0</v>
      </c>
      <c r="W97" s="71">
        <f t="shared" si="153"/>
        <v>0</v>
      </c>
      <c r="X97" s="71">
        <f t="shared" si="153"/>
        <v>43302.299999999996</v>
      </c>
      <c r="Y97" s="71">
        <f t="shared" si="153"/>
        <v>0</v>
      </c>
      <c r="Z97" s="71">
        <f t="shared" si="153"/>
        <v>0</v>
      </c>
      <c r="AA97" s="71">
        <f t="shared" si="153"/>
        <v>0</v>
      </c>
      <c r="AB97" s="71">
        <f t="shared" si="153"/>
        <v>0</v>
      </c>
      <c r="AC97" s="71">
        <f t="shared" si="153"/>
        <v>0</v>
      </c>
      <c r="AD97" s="71">
        <f t="shared" si="153"/>
        <v>0</v>
      </c>
      <c r="AE97" s="71">
        <f t="shared" si="153"/>
        <v>0</v>
      </c>
      <c r="AF97" s="71">
        <f t="shared" si="153"/>
        <v>0</v>
      </c>
      <c r="AG97" s="71">
        <f t="shared" si="153"/>
        <v>0</v>
      </c>
      <c r="AH97" s="72"/>
    </row>
    <row r="98" spans="1:35" s="10" customFormat="1" ht="48" customHeight="1" x14ac:dyDescent="0.25">
      <c r="A98" s="509"/>
      <c r="B98" s="517"/>
      <c r="C98" s="124" t="s">
        <v>21</v>
      </c>
      <c r="D98" s="74">
        <f>SUM(J98,L98,N98,P98,R98,T98,V98,X98,Z98,AB98,AD98,AF98)</f>
        <v>62555.202999999994</v>
      </c>
      <c r="E98" s="74">
        <f>J98+L98+N98+P98+R98+T98</f>
        <v>19252.902999999998</v>
      </c>
      <c r="F98" s="74">
        <f>G98</f>
        <v>19221.823</v>
      </c>
      <c r="G98" s="74">
        <f>SUM(K98,M98,O98,Q98,S98,U98,W98,Y98,AA98,AC98,AE98,AG98)</f>
        <v>19221.823</v>
      </c>
      <c r="H98" s="74">
        <f t="shared" si="148"/>
        <v>30.727776552815282</v>
      </c>
      <c r="I98" s="74">
        <f t="shared" si="149"/>
        <v>99.838569799058362</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0</v>
      </c>
      <c r="Z98" s="67">
        <v>0</v>
      </c>
      <c r="AA98" s="67">
        <v>0</v>
      </c>
      <c r="AB98" s="67">
        <v>0</v>
      </c>
      <c r="AC98" s="67">
        <v>0</v>
      </c>
      <c r="AD98" s="67">
        <v>0</v>
      </c>
      <c r="AE98" s="67">
        <v>0</v>
      </c>
      <c r="AF98" s="67">
        <v>0</v>
      </c>
      <c r="AG98" s="67">
        <v>0</v>
      </c>
      <c r="AH98" s="75" t="s">
        <v>353</v>
      </c>
    </row>
    <row r="99" spans="1:35" s="10" customFormat="1" ht="23.25" customHeight="1" x14ac:dyDescent="0.25">
      <c r="A99" s="508"/>
      <c r="B99" s="510" t="s">
        <v>352</v>
      </c>
      <c r="C99" s="123" t="s">
        <v>20</v>
      </c>
      <c r="D99" s="70">
        <f>D100</f>
        <v>9383.8130000000001</v>
      </c>
      <c r="E99" s="70">
        <f t="shared" ref="E99:G99" si="154">E100</f>
        <v>0</v>
      </c>
      <c r="F99" s="70">
        <f t="shared" si="154"/>
        <v>0</v>
      </c>
      <c r="G99" s="70">
        <f t="shared" si="154"/>
        <v>0</v>
      </c>
      <c r="H99" s="70">
        <f t="shared" si="148"/>
        <v>0</v>
      </c>
      <c r="I99" s="70">
        <f t="shared" si="149"/>
        <v>0</v>
      </c>
      <c r="J99" s="71">
        <f t="shared" ref="J99:AG99" si="155">SUM(J100:J100)</f>
        <v>0</v>
      </c>
      <c r="K99" s="71">
        <f t="shared" si="155"/>
        <v>0</v>
      </c>
      <c r="L99" s="71">
        <f t="shared" si="155"/>
        <v>0</v>
      </c>
      <c r="M99" s="71">
        <f t="shared" si="155"/>
        <v>0</v>
      </c>
      <c r="N99" s="71">
        <f t="shared" si="155"/>
        <v>0</v>
      </c>
      <c r="O99" s="71">
        <f t="shared" si="155"/>
        <v>0</v>
      </c>
      <c r="P99" s="71">
        <f t="shared" si="155"/>
        <v>0</v>
      </c>
      <c r="Q99" s="71">
        <f t="shared" si="155"/>
        <v>0</v>
      </c>
      <c r="R99" s="71">
        <f t="shared" si="155"/>
        <v>0</v>
      </c>
      <c r="S99" s="71">
        <f t="shared" si="155"/>
        <v>0</v>
      </c>
      <c r="T99" s="71">
        <f t="shared" si="155"/>
        <v>0</v>
      </c>
      <c r="U99" s="71">
        <f t="shared" si="155"/>
        <v>0</v>
      </c>
      <c r="V99" s="71">
        <f t="shared" si="155"/>
        <v>0</v>
      </c>
      <c r="W99" s="71">
        <f t="shared" si="155"/>
        <v>0</v>
      </c>
      <c r="X99" s="71">
        <f t="shared" si="155"/>
        <v>5694.5550000000003</v>
      </c>
      <c r="Y99" s="71">
        <f t="shared" si="155"/>
        <v>0</v>
      </c>
      <c r="Z99" s="71">
        <f t="shared" si="155"/>
        <v>0</v>
      </c>
      <c r="AA99" s="71">
        <f t="shared" si="155"/>
        <v>0</v>
      </c>
      <c r="AB99" s="71">
        <f t="shared" si="155"/>
        <v>0</v>
      </c>
      <c r="AC99" s="71">
        <f t="shared" si="155"/>
        <v>0</v>
      </c>
      <c r="AD99" s="71">
        <f t="shared" si="155"/>
        <v>0</v>
      </c>
      <c r="AE99" s="71">
        <f t="shared" si="155"/>
        <v>0</v>
      </c>
      <c r="AF99" s="71">
        <f t="shared" si="155"/>
        <v>3689.2579999999998</v>
      </c>
      <c r="AG99" s="71">
        <f t="shared" si="155"/>
        <v>0</v>
      </c>
      <c r="AH99" s="72" t="s">
        <v>331</v>
      </c>
    </row>
    <row r="100" spans="1:35" s="10" customFormat="1" ht="276.75" customHeight="1" x14ac:dyDescent="0.25">
      <c r="A100" s="509"/>
      <c r="B100" s="510"/>
      <c r="C100" s="124" t="s">
        <v>21</v>
      </c>
      <c r="D100" s="74">
        <f>SUM(J100,L100,N100,P100,R100,T100,V100,X100,Z100,AB100,AD100,AF100)</f>
        <v>9383.8130000000001</v>
      </c>
      <c r="E100" s="74">
        <f>J100</f>
        <v>0</v>
      </c>
      <c r="F100" s="74">
        <f>G100</f>
        <v>0</v>
      </c>
      <c r="G100" s="74">
        <f>SUM(K100,M100,O100,Q100,S100,U100,W100,Y100,AA100,AC100,AE100,AG100)</f>
        <v>0</v>
      </c>
      <c r="H100" s="74">
        <f t="shared" si="148"/>
        <v>0</v>
      </c>
      <c r="I100" s="74">
        <f t="shared" si="149"/>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349</v>
      </c>
    </row>
    <row r="101" spans="1:35" s="10" customFormat="1" ht="33" customHeight="1" x14ac:dyDescent="0.25">
      <c r="A101" s="151"/>
      <c r="B101" s="511" t="s">
        <v>268</v>
      </c>
      <c r="C101" s="512"/>
      <c r="D101" s="512"/>
      <c r="E101" s="512"/>
      <c r="F101" s="512"/>
      <c r="G101" s="512"/>
      <c r="H101" s="512"/>
      <c r="I101" s="512"/>
      <c r="J101" s="512"/>
      <c r="K101" s="512"/>
      <c r="L101" s="512"/>
      <c r="M101" s="512"/>
      <c r="N101" s="512"/>
      <c r="O101" s="512"/>
      <c r="P101" s="512"/>
      <c r="Q101" s="512"/>
      <c r="R101" s="512"/>
      <c r="S101" s="512"/>
      <c r="T101" s="512"/>
      <c r="U101" s="512"/>
      <c r="V101" s="512"/>
      <c r="W101" s="512"/>
      <c r="X101" s="512"/>
      <c r="Y101" s="512"/>
      <c r="Z101" s="512"/>
      <c r="AA101" s="512"/>
      <c r="AB101" s="512"/>
      <c r="AC101" s="512"/>
      <c r="AD101" s="512"/>
      <c r="AE101" s="512"/>
      <c r="AF101" s="512"/>
      <c r="AG101" s="513"/>
      <c r="AH101" s="75"/>
    </row>
    <row r="102" spans="1:35" s="30" customFormat="1" ht="45.75" customHeight="1" x14ac:dyDescent="0.25">
      <c r="A102" s="508" t="s">
        <v>269</v>
      </c>
      <c r="B102" s="514" t="s">
        <v>270</v>
      </c>
      <c r="C102" s="123" t="s">
        <v>20</v>
      </c>
      <c r="D102" s="70">
        <f>D103</f>
        <v>49402.1</v>
      </c>
      <c r="E102" s="70">
        <f t="shared" ref="E102:G102" si="156">E103</f>
        <v>13735.088</v>
      </c>
      <c r="F102" s="70">
        <f t="shared" si="156"/>
        <v>23166.300000000003</v>
      </c>
      <c r="G102" s="70">
        <f t="shared" si="156"/>
        <v>23166.300000000003</v>
      </c>
      <c r="H102" s="70">
        <f t="shared" ref="H102:H105" si="157">IFERROR(G102/D102*100,0)</f>
        <v>46.893350687521391</v>
      </c>
      <c r="I102" s="70">
        <f t="shared" ref="I102:I107" si="158">IFERROR(G102/E102*100,0)</f>
        <v>168.6651006531593</v>
      </c>
      <c r="J102" s="71">
        <f t="shared" ref="J102:AG102" si="159">SUM(J103:J103)</f>
        <v>5251.0879999999997</v>
      </c>
      <c r="K102" s="71">
        <f t="shared" si="159"/>
        <v>4538.9799999999996</v>
      </c>
      <c r="L102" s="71">
        <f t="shared" si="159"/>
        <v>4578</v>
      </c>
      <c r="M102" s="71">
        <f t="shared" si="159"/>
        <v>4578</v>
      </c>
      <c r="N102" s="71">
        <f t="shared" si="159"/>
        <v>3906</v>
      </c>
      <c r="O102" s="71">
        <f t="shared" si="159"/>
        <v>2968.32</v>
      </c>
      <c r="P102" s="71">
        <f t="shared" si="159"/>
        <v>3778.1</v>
      </c>
      <c r="Q102" s="71">
        <f t="shared" si="159"/>
        <v>3537.36</v>
      </c>
      <c r="R102" s="71">
        <f t="shared" si="159"/>
        <v>8618</v>
      </c>
      <c r="S102" s="71">
        <f t="shared" si="159"/>
        <v>3574.06</v>
      </c>
      <c r="T102" s="71">
        <f t="shared" si="159"/>
        <v>7014</v>
      </c>
      <c r="U102" s="71">
        <f t="shared" si="159"/>
        <v>3969.58</v>
      </c>
      <c r="V102" s="71">
        <f t="shared" si="159"/>
        <v>3144</v>
      </c>
      <c r="W102" s="71">
        <f t="shared" si="159"/>
        <v>0</v>
      </c>
      <c r="X102" s="71">
        <f t="shared" si="159"/>
        <v>2906</v>
      </c>
      <c r="Y102" s="71">
        <f t="shared" si="159"/>
        <v>0</v>
      </c>
      <c r="Z102" s="71">
        <f t="shared" si="159"/>
        <v>3916</v>
      </c>
      <c r="AA102" s="71">
        <f t="shared" si="159"/>
        <v>0</v>
      </c>
      <c r="AB102" s="71">
        <f t="shared" si="159"/>
        <v>3315</v>
      </c>
      <c r="AC102" s="71">
        <f t="shared" si="159"/>
        <v>0</v>
      </c>
      <c r="AD102" s="71">
        <f t="shared" si="159"/>
        <v>1342.0520000000001</v>
      </c>
      <c r="AE102" s="71">
        <f t="shared" si="159"/>
        <v>0</v>
      </c>
      <c r="AF102" s="71">
        <f t="shared" si="159"/>
        <v>1633.86</v>
      </c>
      <c r="AG102" s="71">
        <f t="shared" si="159"/>
        <v>0</v>
      </c>
      <c r="AH102" s="72"/>
      <c r="AI102" s="29"/>
    </row>
    <row r="103" spans="1:35" s="31" customFormat="1" ht="78" customHeight="1" x14ac:dyDescent="0.25">
      <c r="A103" s="509"/>
      <c r="B103" s="515"/>
      <c r="C103" s="124" t="s">
        <v>21</v>
      </c>
      <c r="D103" s="74">
        <f>SUM(J103,L103,N103,P103,R103,T103,V103,X103,Z103,AB103,AD103,AF103)</f>
        <v>49402.1</v>
      </c>
      <c r="E103" s="74">
        <f>J103+L103+N103</f>
        <v>13735.088</v>
      </c>
      <c r="F103" s="74">
        <f>G103</f>
        <v>23166.300000000003</v>
      </c>
      <c r="G103" s="74">
        <f>SUM(K103,M103,O103,Q103,S103,U103,W103,Y103,AA103,AC103,AE103,AG103)</f>
        <v>23166.300000000003</v>
      </c>
      <c r="H103" s="74">
        <f t="shared" si="157"/>
        <v>46.893350687521391</v>
      </c>
      <c r="I103" s="74">
        <f>IFERROR(G103/E103*100,0)</f>
        <v>168.6651006531593</v>
      </c>
      <c r="J103" s="67">
        <f>J105+J107</f>
        <v>5251.0879999999997</v>
      </c>
      <c r="K103" s="67">
        <f t="shared" ref="K103:AG103" si="160">K105+K107</f>
        <v>4538.9799999999996</v>
      </c>
      <c r="L103" s="67">
        <f t="shared" si="160"/>
        <v>4578</v>
      </c>
      <c r="M103" s="67">
        <f t="shared" si="160"/>
        <v>4578</v>
      </c>
      <c r="N103" s="67">
        <f t="shared" si="160"/>
        <v>3906</v>
      </c>
      <c r="O103" s="67">
        <f t="shared" si="160"/>
        <v>2968.32</v>
      </c>
      <c r="P103" s="67">
        <f t="shared" si="160"/>
        <v>3778.1</v>
      </c>
      <c r="Q103" s="67">
        <f t="shared" si="160"/>
        <v>3537.36</v>
      </c>
      <c r="R103" s="67">
        <f t="shared" si="160"/>
        <v>8618</v>
      </c>
      <c r="S103" s="67">
        <f t="shared" si="160"/>
        <v>3574.06</v>
      </c>
      <c r="T103" s="67">
        <f t="shared" si="160"/>
        <v>7014</v>
      </c>
      <c r="U103" s="67">
        <f t="shared" si="160"/>
        <v>3969.58</v>
      </c>
      <c r="V103" s="67">
        <f t="shared" si="160"/>
        <v>3144</v>
      </c>
      <c r="W103" s="67">
        <f t="shared" si="160"/>
        <v>0</v>
      </c>
      <c r="X103" s="67">
        <f t="shared" si="160"/>
        <v>2906</v>
      </c>
      <c r="Y103" s="67">
        <f t="shared" si="160"/>
        <v>0</v>
      </c>
      <c r="Z103" s="67">
        <f t="shared" si="160"/>
        <v>3916</v>
      </c>
      <c r="AA103" s="67">
        <f t="shared" si="160"/>
        <v>0</v>
      </c>
      <c r="AB103" s="67">
        <f t="shared" si="160"/>
        <v>3315</v>
      </c>
      <c r="AC103" s="67">
        <f t="shared" si="160"/>
        <v>0</v>
      </c>
      <c r="AD103" s="67">
        <f t="shared" si="160"/>
        <v>1342.0520000000001</v>
      </c>
      <c r="AE103" s="67">
        <f t="shared" si="160"/>
        <v>0</v>
      </c>
      <c r="AF103" s="67">
        <f t="shared" si="160"/>
        <v>1633.86</v>
      </c>
      <c r="AG103" s="67">
        <f t="shared" si="160"/>
        <v>0</v>
      </c>
      <c r="AH103" s="75"/>
      <c r="AI103" s="29"/>
    </row>
    <row r="104" spans="1:35" s="10" customFormat="1" ht="60" customHeight="1" x14ac:dyDescent="0.25">
      <c r="A104" s="508"/>
      <c r="B104" s="516" t="s">
        <v>271</v>
      </c>
      <c r="C104" s="123" t="s">
        <v>20</v>
      </c>
      <c r="D104" s="70">
        <f>D105</f>
        <v>49302.1</v>
      </c>
      <c r="E104" s="70">
        <f t="shared" ref="E104:G104" si="161">E105</f>
        <v>33145.187999999995</v>
      </c>
      <c r="F104" s="70">
        <f t="shared" si="161"/>
        <v>23166.300000000003</v>
      </c>
      <c r="G104" s="70">
        <f t="shared" si="161"/>
        <v>23166.300000000003</v>
      </c>
      <c r="H104" s="70">
        <f t="shared" si="157"/>
        <v>46.988464994391727</v>
      </c>
      <c r="I104" s="70">
        <f t="shared" si="158"/>
        <v>69.89340353115513</v>
      </c>
      <c r="J104" s="71">
        <f t="shared" ref="J104:AG104" si="162">SUM(J105:J105)</f>
        <v>5251.0879999999997</v>
      </c>
      <c r="K104" s="71">
        <f t="shared" si="162"/>
        <v>4538.9799999999996</v>
      </c>
      <c r="L104" s="71">
        <f t="shared" si="162"/>
        <v>4578</v>
      </c>
      <c r="M104" s="71">
        <f t="shared" si="162"/>
        <v>4578</v>
      </c>
      <c r="N104" s="71">
        <f t="shared" si="162"/>
        <v>3906</v>
      </c>
      <c r="O104" s="71">
        <f t="shared" si="162"/>
        <v>2968.32</v>
      </c>
      <c r="P104" s="71">
        <f t="shared" si="162"/>
        <v>3778.1</v>
      </c>
      <c r="Q104" s="71">
        <f t="shared" si="162"/>
        <v>3537.36</v>
      </c>
      <c r="R104" s="71">
        <f t="shared" si="162"/>
        <v>8618</v>
      </c>
      <c r="S104" s="71">
        <f t="shared" si="162"/>
        <v>3574.06</v>
      </c>
      <c r="T104" s="71">
        <f t="shared" si="162"/>
        <v>7014</v>
      </c>
      <c r="U104" s="71">
        <f t="shared" si="162"/>
        <v>3969.58</v>
      </c>
      <c r="V104" s="71">
        <f t="shared" si="162"/>
        <v>3144</v>
      </c>
      <c r="W104" s="71">
        <f t="shared" si="162"/>
        <v>0</v>
      </c>
      <c r="X104" s="71">
        <f t="shared" si="162"/>
        <v>2806</v>
      </c>
      <c r="Y104" s="71">
        <f t="shared" si="162"/>
        <v>0</v>
      </c>
      <c r="Z104" s="71">
        <f t="shared" si="162"/>
        <v>3916</v>
      </c>
      <c r="AA104" s="71">
        <f t="shared" si="162"/>
        <v>0</v>
      </c>
      <c r="AB104" s="71">
        <f t="shared" si="162"/>
        <v>3315</v>
      </c>
      <c r="AC104" s="71">
        <f t="shared" si="162"/>
        <v>0</v>
      </c>
      <c r="AD104" s="71">
        <f t="shared" si="162"/>
        <v>1342.0520000000001</v>
      </c>
      <c r="AE104" s="71">
        <f t="shared" si="162"/>
        <v>0</v>
      </c>
      <c r="AF104" s="71">
        <f t="shared" si="162"/>
        <v>1633.86</v>
      </c>
      <c r="AG104" s="71">
        <f t="shared" si="162"/>
        <v>0</v>
      </c>
      <c r="AH104" s="72"/>
    </row>
    <row r="105" spans="1:35" s="10" customFormat="1" ht="62.25" customHeight="1" x14ac:dyDescent="0.25">
      <c r="A105" s="509"/>
      <c r="B105" s="517"/>
      <c r="C105" s="124" t="s">
        <v>21</v>
      </c>
      <c r="D105" s="74">
        <f>SUM(J105,L105,N105,P105,R105,T105,V105,X105,Z105,AB105,AD105,AF105)</f>
        <v>49302.1</v>
      </c>
      <c r="E105" s="74">
        <f>J105+L105+N105+P105+R105+T105</f>
        <v>33145.187999999995</v>
      </c>
      <c r="F105" s="74">
        <f>G105</f>
        <v>23166.300000000003</v>
      </c>
      <c r="G105" s="74">
        <f>SUM(K105,M105,O105,Q105,S105,U105,W105,Y105,AA105,AC105,AE105,AG105)</f>
        <v>23166.300000000003</v>
      </c>
      <c r="H105" s="74">
        <f t="shared" si="157"/>
        <v>46.988464994391727</v>
      </c>
      <c r="I105" s="74">
        <f t="shared" si="158"/>
        <v>69.89340353115513</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0</v>
      </c>
      <c r="X105" s="67">
        <v>2806</v>
      </c>
      <c r="Y105" s="67">
        <v>0</v>
      </c>
      <c r="Z105" s="67">
        <v>3916</v>
      </c>
      <c r="AA105" s="67">
        <v>0</v>
      </c>
      <c r="AB105" s="67">
        <v>3315</v>
      </c>
      <c r="AC105" s="67">
        <v>0</v>
      </c>
      <c r="AD105" s="67">
        <f>3112.452-1770.4</f>
        <v>1342.0520000000001</v>
      </c>
      <c r="AE105" s="67">
        <v>0</v>
      </c>
      <c r="AF105" s="67">
        <v>1633.86</v>
      </c>
      <c r="AG105" s="67">
        <v>0</v>
      </c>
      <c r="AH105" s="75" t="s">
        <v>351</v>
      </c>
    </row>
    <row r="106" spans="1:35" s="10" customFormat="1" ht="23.25" customHeight="1" x14ac:dyDescent="0.25">
      <c r="A106" s="508"/>
      <c r="B106" s="510" t="s">
        <v>272</v>
      </c>
      <c r="C106" s="123" t="s">
        <v>20</v>
      </c>
      <c r="D106" s="70">
        <f>D107</f>
        <v>100</v>
      </c>
      <c r="E106" s="70">
        <f t="shared" ref="E106:G106" si="163">E107</f>
        <v>0</v>
      </c>
      <c r="F106" s="70">
        <f t="shared" si="163"/>
        <v>0</v>
      </c>
      <c r="G106" s="70">
        <f t="shared" si="163"/>
        <v>0</v>
      </c>
      <c r="H106" s="70">
        <f>IFERROR(G106/D106*100,0)</f>
        <v>0</v>
      </c>
      <c r="I106" s="70">
        <f t="shared" si="158"/>
        <v>0</v>
      </c>
      <c r="J106" s="71">
        <f t="shared" ref="J106:AG106" si="164">SUM(J107:J107)</f>
        <v>0</v>
      </c>
      <c r="K106" s="71">
        <f t="shared" si="164"/>
        <v>0</v>
      </c>
      <c r="L106" s="71">
        <f t="shared" si="164"/>
        <v>0</v>
      </c>
      <c r="M106" s="71">
        <f t="shared" si="164"/>
        <v>0</v>
      </c>
      <c r="N106" s="71">
        <f t="shared" si="164"/>
        <v>0</v>
      </c>
      <c r="O106" s="71">
        <f t="shared" si="164"/>
        <v>0</v>
      </c>
      <c r="P106" s="71">
        <f t="shared" si="164"/>
        <v>0</v>
      </c>
      <c r="Q106" s="71">
        <f t="shared" si="164"/>
        <v>0</v>
      </c>
      <c r="R106" s="71">
        <f t="shared" si="164"/>
        <v>0</v>
      </c>
      <c r="S106" s="71">
        <f t="shared" si="164"/>
        <v>0</v>
      </c>
      <c r="T106" s="71">
        <f t="shared" si="164"/>
        <v>0</v>
      </c>
      <c r="U106" s="71">
        <f t="shared" si="164"/>
        <v>0</v>
      </c>
      <c r="V106" s="71">
        <f t="shared" si="164"/>
        <v>0</v>
      </c>
      <c r="W106" s="71">
        <f t="shared" si="164"/>
        <v>0</v>
      </c>
      <c r="X106" s="71">
        <f t="shared" si="164"/>
        <v>100</v>
      </c>
      <c r="Y106" s="71">
        <f t="shared" si="164"/>
        <v>0</v>
      </c>
      <c r="Z106" s="71">
        <f t="shared" si="164"/>
        <v>0</v>
      </c>
      <c r="AA106" s="71">
        <f t="shared" si="164"/>
        <v>0</v>
      </c>
      <c r="AB106" s="71">
        <f t="shared" si="164"/>
        <v>0</v>
      </c>
      <c r="AC106" s="71">
        <f t="shared" si="164"/>
        <v>0</v>
      </c>
      <c r="AD106" s="71">
        <f t="shared" si="164"/>
        <v>0</v>
      </c>
      <c r="AE106" s="71">
        <f t="shared" si="164"/>
        <v>0</v>
      </c>
      <c r="AF106" s="71">
        <f t="shared" si="164"/>
        <v>0</v>
      </c>
      <c r="AG106" s="71">
        <f t="shared" si="164"/>
        <v>0</v>
      </c>
      <c r="AH106" s="72"/>
    </row>
    <row r="107" spans="1:35" s="10" customFormat="1" ht="42" customHeight="1" x14ac:dyDescent="0.25">
      <c r="A107" s="509"/>
      <c r="B107" s="510"/>
      <c r="C107" s="124" t="s">
        <v>21</v>
      </c>
      <c r="D107" s="74">
        <f>SUM(J107,L107,N107,P107,R107,T107,V107,X107,Z107,AB107,AD107,AF107)</f>
        <v>100</v>
      </c>
      <c r="E107" s="74">
        <f>J107</f>
        <v>0</v>
      </c>
      <c r="F107" s="74">
        <f>G107</f>
        <v>0</v>
      </c>
      <c r="G107" s="74">
        <f>SUM(K107,M107,O107,Q107,S107,U107,W107,Y107,AA107,AC107,AE107,AG107)</f>
        <v>0</v>
      </c>
      <c r="H107" s="74">
        <f>IFERROR(G107/D107*100,0)</f>
        <v>0</v>
      </c>
      <c r="I107" s="74">
        <f t="shared" si="158"/>
        <v>0</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0</v>
      </c>
      <c r="AA107" s="67">
        <v>0</v>
      </c>
      <c r="AB107" s="67">
        <v>0</v>
      </c>
      <c r="AC107" s="67">
        <v>0</v>
      </c>
      <c r="AD107" s="67">
        <v>0</v>
      </c>
      <c r="AE107" s="67">
        <v>0</v>
      </c>
      <c r="AF107" s="67">
        <v>0</v>
      </c>
      <c r="AG107" s="67">
        <v>0</v>
      </c>
      <c r="AH107" s="75"/>
    </row>
    <row r="108" spans="1:35" s="10" customFormat="1" ht="71.25" customHeight="1" x14ac:dyDescent="0.25">
      <c r="A108" s="361"/>
      <c r="B108" s="363" t="s">
        <v>362</v>
      </c>
      <c r="C108" s="364" t="s">
        <v>20</v>
      </c>
      <c r="D108" s="365">
        <f>D109+D110+D111</f>
        <v>1440.52</v>
      </c>
      <c r="E108" s="365">
        <f t="shared" ref="E108:F108" si="165">E109+E110+E111</f>
        <v>1440.52</v>
      </c>
      <c r="F108" s="365">
        <f t="shared" si="165"/>
        <v>0</v>
      </c>
      <c r="G108" s="365">
        <f>G109+G110+G111</f>
        <v>0</v>
      </c>
      <c r="H108" s="70">
        <f t="shared" ref="H108:H111" si="166">IFERROR(G108/D108*100,0)</f>
        <v>0</v>
      </c>
      <c r="I108" s="70">
        <f t="shared" ref="I108:I111" si="167">IFERROR(G108/E108*100,0)</f>
        <v>0</v>
      </c>
      <c r="J108" s="366">
        <f>SUM(J109+J110+J111)</f>
        <v>0</v>
      </c>
      <c r="K108" s="366">
        <f t="shared" ref="K108:AG108" si="168">SUM(K109+K110+K111)</f>
        <v>0</v>
      </c>
      <c r="L108" s="366">
        <f t="shared" si="168"/>
        <v>0</v>
      </c>
      <c r="M108" s="366">
        <f t="shared" si="168"/>
        <v>0</v>
      </c>
      <c r="N108" s="366">
        <f t="shared" si="168"/>
        <v>0</v>
      </c>
      <c r="O108" s="366">
        <f t="shared" si="168"/>
        <v>0</v>
      </c>
      <c r="P108" s="366">
        <f t="shared" si="168"/>
        <v>0</v>
      </c>
      <c r="Q108" s="366">
        <f t="shared" si="168"/>
        <v>0</v>
      </c>
      <c r="R108" s="366">
        <f t="shared" si="168"/>
        <v>1440.52</v>
      </c>
      <c r="S108" s="366">
        <f t="shared" si="168"/>
        <v>0</v>
      </c>
      <c r="T108" s="366">
        <f t="shared" si="168"/>
        <v>0</v>
      </c>
      <c r="U108" s="366">
        <f t="shared" si="168"/>
        <v>0</v>
      </c>
      <c r="V108" s="366">
        <f t="shared" si="168"/>
        <v>0</v>
      </c>
      <c r="W108" s="366">
        <f t="shared" si="168"/>
        <v>0</v>
      </c>
      <c r="X108" s="366">
        <f t="shared" si="168"/>
        <v>0</v>
      </c>
      <c r="Y108" s="366">
        <f t="shared" si="168"/>
        <v>0</v>
      </c>
      <c r="Z108" s="366">
        <f t="shared" si="168"/>
        <v>0</v>
      </c>
      <c r="AA108" s="366">
        <f t="shared" si="168"/>
        <v>0</v>
      </c>
      <c r="AB108" s="366">
        <f t="shared" si="168"/>
        <v>0</v>
      </c>
      <c r="AC108" s="366">
        <f t="shared" si="168"/>
        <v>0</v>
      </c>
      <c r="AD108" s="366">
        <f t="shared" si="168"/>
        <v>0</v>
      </c>
      <c r="AE108" s="366">
        <f t="shared" si="168"/>
        <v>0</v>
      </c>
      <c r="AF108" s="366">
        <f t="shared" si="168"/>
        <v>0</v>
      </c>
      <c r="AG108" s="366">
        <f t="shared" si="168"/>
        <v>0</v>
      </c>
      <c r="AH108" s="367" t="s">
        <v>363</v>
      </c>
    </row>
    <row r="109" spans="1:35" s="10" customFormat="1" ht="71.25" customHeight="1" x14ac:dyDescent="0.25">
      <c r="A109" s="135"/>
      <c r="B109" s="362"/>
      <c r="C109" s="124" t="s">
        <v>21</v>
      </c>
      <c r="D109" s="70">
        <f>J109+L109+N109+P109+R109+T109+V109</f>
        <v>1006.2</v>
      </c>
      <c r="E109" s="70">
        <f>J109+L109+N109+P109+R109</f>
        <v>1006.2</v>
      </c>
      <c r="F109" s="70">
        <f>G109</f>
        <v>0</v>
      </c>
      <c r="G109" s="70">
        <f>K109+M109+O109+Q109+S109+U109</f>
        <v>0</v>
      </c>
      <c r="H109" s="70">
        <f t="shared" si="166"/>
        <v>0</v>
      </c>
      <c r="I109" s="70">
        <f t="shared" si="167"/>
        <v>0</v>
      </c>
      <c r="J109" s="71"/>
      <c r="K109" s="71"/>
      <c r="L109" s="71"/>
      <c r="M109" s="71"/>
      <c r="N109" s="71"/>
      <c r="O109" s="71"/>
      <c r="P109" s="71"/>
      <c r="Q109" s="71"/>
      <c r="R109" s="369">
        <v>1006.2</v>
      </c>
      <c r="S109" s="369"/>
      <c r="T109" s="71"/>
      <c r="U109" s="71"/>
      <c r="V109" s="71"/>
      <c r="W109" s="71"/>
      <c r="X109" s="71"/>
      <c r="Y109" s="71"/>
      <c r="Z109" s="71"/>
      <c r="AA109" s="71"/>
      <c r="AB109" s="71"/>
      <c r="AC109" s="71"/>
      <c r="AD109" s="71"/>
      <c r="AE109" s="71"/>
      <c r="AF109" s="71"/>
      <c r="AG109" s="71"/>
      <c r="AH109" s="72"/>
    </row>
    <row r="110" spans="1:35" ht="30" x14ac:dyDescent="0.25">
      <c r="A110" s="368"/>
      <c r="B110" s="368"/>
      <c r="C110" s="124" t="s">
        <v>347</v>
      </c>
      <c r="D110" s="70">
        <f t="shared" ref="D110:D111" si="169">J110+L110+N110+P110+R110+T110+V110</f>
        <v>333.32</v>
      </c>
      <c r="E110" s="70">
        <f t="shared" ref="E110:E111" si="170">J110+L110+N110+P110+R110</f>
        <v>333.32</v>
      </c>
      <c r="F110" s="70">
        <f t="shared" ref="F110:F111" si="171">G110</f>
        <v>0</v>
      </c>
      <c r="G110" s="70">
        <f t="shared" ref="G110:G111" si="172">K110+M110+O110+Q110+S110+U110</f>
        <v>0</v>
      </c>
      <c r="H110" s="70">
        <f t="shared" si="166"/>
        <v>0</v>
      </c>
      <c r="I110" s="70">
        <f t="shared" si="167"/>
        <v>0</v>
      </c>
      <c r="J110" s="368"/>
      <c r="K110" s="368"/>
      <c r="L110" s="368"/>
      <c r="M110" s="368"/>
      <c r="N110" s="368"/>
      <c r="O110" s="368"/>
      <c r="P110" s="368"/>
      <c r="Q110" s="368"/>
      <c r="R110" s="371">
        <v>333.32</v>
      </c>
      <c r="S110" s="370"/>
      <c r="T110" s="368"/>
      <c r="U110" s="368"/>
      <c r="V110" s="368"/>
      <c r="W110" s="368"/>
      <c r="X110" s="368"/>
      <c r="Y110" s="368"/>
      <c r="Z110" s="368"/>
      <c r="AA110" s="368"/>
      <c r="AB110" s="368"/>
      <c r="AC110" s="368"/>
      <c r="AD110" s="368"/>
      <c r="AE110" s="368"/>
      <c r="AF110" s="368"/>
      <c r="AG110" s="368"/>
      <c r="AH110" s="368"/>
    </row>
    <row r="111" spans="1:35" ht="30" x14ac:dyDescent="0.25">
      <c r="A111" s="368"/>
      <c r="B111" s="368"/>
      <c r="C111" s="126" t="s">
        <v>22</v>
      </c>
      <c r="D111" s="70">
        <f t="shared" si="169"/>
        <v>101</v>
      </c>
      <c r="E111" s="70">
        <f t="shared" si="170"/>
        <v>101</v>
      </c>
      <c r="F111" s="70">
        <f t="shared" si="171"/>
        <v>0</v>
      </c>
      <c r="G111" s="70">
        <f t="shared" si="172"/>
        <v>0</v>
      </c>
      <c r="H111" s="70">
        <f t="shared" si="166"/>
        <v>0</v>
      </c>
      <c r="I111" s="70">
        <f t="shared" si="167"/>
        <v>0</v>
      </c>
      <c r="J111" s="368"/>
      <c r="K111" s="368"/>
      <c r="L111" s="368"/>
      <c r="M111" s="368"/>
      <c r="N111" s="368"/>
      <c r="O111" s="368"/>
      <c r="P111" s="368"/>
      <c r="Q111" s="368"/>
      <c r="R111" s="371">
        <v>101</v>
      </c>
      <c r="S111" s="370"/>
      <c r="T111" s="368"/>
      <c r="U111" s="368"/>
      <c r="V111" s="368"/>
      <c r="W111" s="368"/>
      <c r="X111" s="368"/>
      <c r="Y111" s="368"/>
      <c r="Z111" s="368"/>
      <c r="AA111" s="368"/>
      <c r="AB111" s="368"/>
      <c r="AC111" s="368"/>
      <c r="AD111" s="368"/>
      <c r="AE111" s="368"/>
      <c r="AF111" s="368"/>
      <c r="AG111" s="368"/>
      <c r="AH111" s="368"/>
    </row>
  </sheetData>
  <customSheetViews>
    <customSheetView guid="{133BB3F8-8DD4-4AEF-8CD6-A5FB14681329}" scale="80" hiddenRows="1" state="hidden">
      <pane xSplit="6" ySplit="7" topLeftCell="G95" activePane="bottomRight" state="frozen"/>
      <selection pane="bottomRight" activeCell="Q19" sqref="Q19"/>
      <pageMargins left="0.7" right="0.7" top="0.75" bottom="0.75" header="0.3" footer="0.3"/>
      <pageSetup paperSize="9" orientation="portrait" r:id="rId1"/>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3"/>
    </customSheetView>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4"/>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6"/>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7"/>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9"/>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10"/>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13"/>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1"/>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22"/>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23"/>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24"/>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25"/>
    </customSheetView>
    <customSheetView guid="{996EC2F0-F6EC-4E63-A83E-34865157BD8D}" scale="80" hiddenRows="1">
      <pane xSplit="6" ySplit="7" topLeftCell="R8" activePane="bottomRight" state="frozen"/>
      <selection pane="bottomRight" activeCell="E9" sqref="E9:E12"/>
      <pageMargins left="0.7" right="0.7" top="0.75" bottom="0.75" header="0.3" footer="0.3"/>
      <pageSetup paperSize="9" orientation="portrait" r:id="rId26"/>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27"/>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2"/>
    <mergeCell ref="B19:B22"/>
    <mergeCell ref="A23:A26"/>
    <mergeCell ref="B23:B26"/>
    <mergeCell ref="A27:A29"/>
    <mergeCell ref="B27:B29"/>
    <mergeCell ref="A30:A32"/>
    <mergeCell ref="B30:B32"/>
    <mergeCell ref="A33:A37"/>
    <mergeCell ref="B33:B37"/>
    <mergeCell ref="A38:A41"/>
    <mergeCell ref="B38:B41"/>
    <mergeCell ref="B63:B64"/>
    <mergeCell ref="A42:A45"/>
    <mergeCell ref="B42:B45"/>
    <mergeCell ref="B46:B47"/>
    <mergeCell ref="B48:B49"/>
    <mergeCell ref="A50:A52"/>
    <mergeCell ref="B50:B52"/>
    <mergeCell ref="B53:B54"/>
    <mergeCell ref="A55:A57"/>
    <mergeCell ref="B55:B57"/>
    <mergeCell ref="A60:A62"/>
    <mergeCell ref="B60:B62"/>
    <mergeCell ref="A86:A87"/>
    <mergeCell ref="B86:B87"/>
    <mergeCell ref="B65:B66"/>
    <mergeCell ref="A67:A70"/>
    <mergeCell ref="B67:B70"/>
    <mergeCell ref="B71:AG71"/>
    <mergeCell ref="A72:A75"/>
    <mergeCell ref="B72:B75"/>
    <mergeCell ref="B76:B80"/>
    <mergeCell ref="A81:A82"/>
    <mergeCell ref="B81:B82"/>
    <mergeCell ref="A83:A85"/>
    <mergeCell ref="B83:B85"/>
    <mergeCell ref="A88:A89"/>
    <mergeCell ref="B88:B89"/>
    <mergeCell ref="A90:A91"/>
    <mergeCell ref="B90:B91"/>
    <mergeCell ref="A92:A93"/>
    <mergeCell ref="B92:B93"/>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421" customWidth="1"/>
    <col min="6" max="6" width="17.140625" style="8" customWidth="1"/>
    <col min="7" max="7" width="17.85546875" style="407" customWidth="1"/>
    <col min="8" max="8" width="12.140625" style="8" customWidth="1"/>
    <col min="9" max="9" width="10.85546875" style="8" customWidth="1"/>
    <col min="10" max="10" width="14.28515625" style="8" customWidth="1"/>
    <col min="11" max="11" width="13.5703125" style="209" customWidth="1"/>
    <col min="12" max="12" width="13.85546875" style="8" customWidth="1"/>
    <col min="13" max="13" width="13" style="271" customWidth="1"/>
    <col min="14" max="14" width="13.42578125" style="8" customWidth="1"/>
    <col min="15" max="15" width="11.5703125" style="343" customWidth="1"/>
    <col min="16" max="16" width="13.42578125" style="8" customWidth="1"/>
    <col min="17" max="17" width="11.5703125" style="339" customWidth="1"/>
    <col min="18" max="18" width="13" style="8" customWidth="1"/>
    <col min="19" max="19" width="11.5703125" style="334" customWidth="1"/>
    <col min="20" max="20" width="13" style="8" customWidth="1"/>
    <col min="21" max="21" width="11.5703125" style="8" customWidth="1"/>
    <col min="22" max="22" width="14.28515625" style="8" customWidth="1"/>
    <col min="23" max="23" width="11.5703125" style="395" customWidth="1"/>
    <col min="24" max="24" width="13.5703125" style="8" customWidth="1"/>
    <col min="25" max="25" width="11.5703125" style="414" customWidth="1"/>
    <col min="26" max="26" width="13.5703125" style="8" customWidth="1"/>
    <col min="27" max="27" width="11.5703125" style="438" customWidth="1"/>
    <col min="28" max="28" width="13" style="8" customWidth="1"/>
    <col min="29" max="29" width="11.5703125" style="491"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415"/>
      <c r="F1" s="2"/>
      <c r="G1" s="396"/>
      <c r="H1" s="2"/>
      <c r="I1" s="2"/>
      <c r="J1" s="3"/>
      <c r="K1" s="203"/>
      <c r="L1" s="3"/>
      <c r="M1" s="265"/>
      <c r="N1" s="3"/>
      <c r="O1" s="340"/>
      <c r="P1" s="3"/>
      <c r="Q1" s="335"/>
      <c r="R1" s="3"/>
      <c r="S1" s="328"/>
      <c r="T1" s="3"/>
      <c r="U1" s="3"/>
      <c r="V1" s="5"/>
      <c r="W1" s="389"/>
      <c r="X1" s="5"/>
      <c r="Y1" s="408"/>
      <c r="Z1" s="5"/>
      <c r="AA1" s="430"/>
      <c r="AB1" s="5"/>
      <c r="AC1" s="486"/>
      <c r="AD1" s="6"/>
      <c r="AE1" s="6"/>
      <c r="AF1" s="6"/>
      <c r="AG1" s="3"/>
      <c r="AH1" s="7"/>
    </row>
    <row r="2" spans="1:35" ht="15.75" x14ac:dyDescent="0.25">
      <c r="A2" s="145"/>
      <c r="B2" s="145"/>
      <c r="C2" s="638" t="s">
        <v>24</v>
      </c>
      <c r="D2" s="638"/>
      <c r="E2" s="638"/>
      <c r="F2" s="638"/>
      <c r="G2" s="638"/>
      <c r="H2" s="638"/>
      <c r="I2" s="638"/>
      <c r="J2" s="638"/>
      <c r="K2" s="638"/>
      <c r="L2" s="638"/>
      <c r="M2" s="638"/>
      <c r="N2" s="638"/>
      <c r="O2" s="638"/>
      <c r="P2" s="638"/>
      <c r="Q2" s="638"/>
      <c r="R2" s="638"/>
      <c r="S2" s="638"/>
      <c r="T2" s="146"/>
      <c r="U2" s="146"/>
      <c r="V2" s="146"/>
      <c r="W2" s="390"/>
      <c r="X2" s="146"/>
      <c r="Y2" s="409"/>
      <c r="Z2" s="146"/>
      <c r="AA2" s="431"/>
      <c r="AB2" s="146"/>
      <c r="AC2" s="487"/>
      <c r="AD2" s="146"/>
      <c r="AE2" s="146"/>
      <c r="AF2" s="146"/>
      <c r="AG2" s="146"/>
      <c r="AH2" s="146"/>
    </row>
    <row r="3" spans="1:35" ht="36.75" customHeight="1" x14ac:dyDescent="0.25">
      <c r="A3" s="145"/>
      <c r="B3" s="145"/>
      <c r="C3" s="639" t="s">
        <v>216</v>
      </c>
      <c r="D3" s="639"/>
      <c r="E3" s="639"/>
      <c r="F3" s="639"/>
      <c r="G3" s="639"/>
      <c r="H3" s="639"/>
      <c r="I3" s="639"/>
      <c r="J3" s="639"/>
      <c r="K3" s="639"/>
      <c r="L3" s="639"/>
      <c r="M3" s="639"/>
      <c r="N3" s="639"/>
      <c r="O3" s="639"/>
      <c r="P3" s="639"/>
      <c r="Q3" s="639"/>
      <c r="R3" s="639"/>
      <c r="S3" s="639"/>
      <c r="T3" s="147"/>
      <c r="U3" s="147"/>
      <c r="V3" s="147"/>
      <c r="W3" s="391"/>
      <c r="X3" s="147"/>
      <c r="Y3" s="410"/>
      <c r="Z3" s="147"/>
      <c r="AA3" s="432"/>
      <c r="AB3" s="147"/>
      <c r="AC3" s="488"/>
      <c r="AD3" s="148"/>
      <c r="AE3" s="148"/>
      <c r="AF3" s="148"/>
      <c r="AG3" s="148" t="s">
        <v>0</v>
      </c>
      <c r="AH3" s="148"/>
    </row>
    <row r="4" spans="1:35" s="10" customFormat="1" ht="15" customHeight="1" x14ac:dyDescent="0.25">
      <c r="A4" s="640" t="s">
        <v>26</v>
      </c>
      <c r="B4" s="643" t="s">
        <v>29</v>
      </c>
      <c r="C4" s="643" t="s">
        <v>30</v>
      </c>
      <c r="D4" s="577" t="s">
        <v>1</v>
      </c>
      <c r="E4" s="646" t="s">
        <v>1</v>
      </c>
      <c r="F4" s="577" t="s">
        <v>2</v>
      </c>
      <c r="G4" s="648" t="s">
        <v>3</v>
      </c>
      <c r="H4" s="634" t="s">
        <v>4</v>
      </c>
      <c r="I4" s="635"/>
      <c r="J4" s="634" t="s">
        <v>5</v>
      </c>
      <c r="K4" s="635"/>
      <c r="L4" s="634" t="s">
        <v>6</v>
      </c>
      <c r="M4" s="635"/>
      <c r="N4" s="634" t="s">
        <v>7</v>
      </c>
      <c r="O4" s="635"/>
      <c r="P4" s="634" t="s">
        <v>8</v>
      </c>
      <c r="Q4" s="635"/>
      <c r="R4" s="634" t="s">
        <v>9</v>
      </c>
      <c r="S4" s="635"/>
      <c r="T4" s="634" t="s">
        <v>10</v>
      </c>
      <c r="U4" s="635"/>
      <c r="V4" s="634" t="s">
        <v>11</v>
      </c>
      <c r="W4" s="635"/>
      <c r="X4" s="634" t="s">
        <v>12</v>
      </c>
      <c r="Y4" s="635"/>
      <c r="Z4" s="634" t="s">
        <v>13</v>
      </c>
      <c r="AA4" s="635"/>
      <c r="AB4" s="634" t="s">
        <v>14</v>
      </c>
      <c r="AC4" s="635"/>
      <c r="AD4" s="634" t="s">
        <v>15</v>
      </c>
      <c r="AE4" s="635"/>
      <c r="AF4" s="634" t="s">
        <v>16</v>
      </c>
      <c r="AG4" s="635"/>
      <c r="AH4" s="559" t="s">
        <v>17</v>
      </c>
    </row>
    <row r="5" spans="1:35" s="10" customFormat="1" ht="39" customHeight="1" x14ac:dyDescent="0.25">
      <c r="A5" s="641"/>
      <c r="B5" s="644"/>
      <c r="C5" s="644"/>
      <c r="D5" s="578"/>
      <c r="E5" s="647"/>
      <c r="F5" s="578"/>
      <c r="G5" s="649"/>
      <c r="H5" s="636"/>
      <c r="I5" s="637"/>
      <c r="J5" s="636"/>
      <c r="K5" s="637"/>
      <c r="L5" s="636"/>
      <c r="M5" s="637"/>
      <c r="N5" s="636"/>
      <c r="O5" s="637"/>
      <c r="P5" s="636"/>
      <c r="Q5" s="637"/>
      <c r="R5" s="636"/>
      <c r="S5" s="637"/>
      <c r="T5" s="636"/>
      <c r="U5" s="637"/>
      <c r="V5" s="636"/>
      <c r="W5" s="637"/>
      <c r="X5" s="636"/>
      <c r="Y5" s="637"/>
      <c r="Z5" s="636"/>
      <c r="AA5" s="637"/>
      <c r="AB5" s="636"/>
      <c r="AC5" s="637"/>
      <c r="AD5" s="636"/>
      <c r="AE5" s="637"/>
      <c r="AF5" s="636"/>
      <c r="AG5" s="637"/>
      <c r="AH5" s="560"/>
    </row>
    <row r="6" spans="1:35" s="10" customFormat="1" ht="64.5" customHeight="1" x14ac:dyDescent="0.25">
      <c r="A6" s="642"/>
      <c r="B6" s="645"/>
      <c r="C6" s="645"/>
      <c r="D6" s="121">
        <v>2025</v>
      </c>
      <c r="E6" s="416">
        <v>45962</v>
      </c>
      <c r="F6" s="344">
        <v>45962</v>
      </c>
      <c r="G6" s="388">
        <v>45931</v>
      </c>
      <c r="H6" s="149" t="s">
        <v>27</v>
      </c>
      <c r="I6" s="149" t="s">
        <v>28</v>
      </c>
      <c r="J6" s="149" t="s">
        <v>18</v>
      </c>
      <c r="K6" s="204" t="s">
        <v>19</v>
      </c>
      <c r="L6" s="149" t="s">
        <v>18</v>
      </c>
      <c r="M6" s="266" t="s">
        <v>19</v>
      </c>
      <c r="N6" s="149" t="s">
        <v>18</v>
      </c>
      <c r="O6" s="341" t="s">
        <v>19</v>
      </c>
      <c r="P6" s="149" t="s">
        <v>18</v>
      </c>
      <c r="Q6" s="336" t="s">
        <v>19</v>
      </c>
      <c r="R6" s="149" t="s">
        <v>18</v>
      </c>
      <c r="S6" s="329" t="s">
        <v>19</v>
      </c>
      <c r="T6" s="149" t="s">
        <v>18</v>
      </c>
      <c r="U6" s="149" t="s">
        <v>19</v>
      </c>
      <c r="V6" s="149" t="s">
        <v>18</v>
      </c>
      <c r="W6" s="392" t="s">
        <v>19</v>
      </c>
      <c r="X6" s="149" t="s">
        <v>18</v>
      </c>
      <c r="Y6" s="411" t="s">
        <v>19</v>
      </c>
      <c r="Z6" s="149" t="s">
        <v>18</v>
      </c>
      <c r="AA6" s="433" t="s">
        <v>19</v>
      </c>
      <c r="AB6" s="149" t="s">
        <v>18</v>
      </c>
      <c r="AC6" s="489" t="s">
        <v>19</v>
      </c>
      <c r="AD6" s="149" t="s">
        <v>18</v>
      </c>
      <c r="AE6" s="149" t="s">
        <v>19</v>
      </c>
      <c r="AF6" s="149" t="s">
        <v>18</v>
      </c>
      <c r="AG6" s="149" t="s">
        <v>19</v>
      </c>
      <c r="AH6" s="561"/>
    </row>
    <row r="7" spans="1:35" s="10" customFormat="1" ht="15.75" x14ac:dyDescent="0.25">
      <c r="A7" s="40">
        <v>1</v>
      </c>
      <c r="B7" s="40">
        <v>2</v>
      </c>
      <c r="C7" s="40">
        <v>3</v>
      </c>
      <c r="D7" s="40">
        <v>4</v>
      </c>
      <c r="E7" s="417">
        <v>5</v>
      </c>
      <c r="F7" s="40">
        <v>6</v>
      </c>
      <c r="G7" s="397">
        <v>7</v>
      </c>
      <c r="H7" s="40">
        <v>8</v>
      </c>
      <c r="I7" s="40">
        <v>9</v>
      </c>
      <c r="J7" s="40">
        <v>10</v>
      </c>
      <c r="K7" s="205">
        <v>11</v>
      </c>
      <c r="L7" s="40">
        <v>12</v>
      </c>
      <c r="M7" s="267">
        <v>13</v>
      </c>
      <c r="N7" s="40">
        <v>14</v>
      </c>
      <c r="O7" s="342">
        <v>15</v>
      </c>
      <c r="P7" s="40">
        <v>16</v>
      </c>
      <c r="Q7" s="337">
        <v>17</v>
      </c>
      <c r="R7" s="40">
        <v>18</v>
      </c>
      <c r="S7" s="330">
        <v>19</v>
      </c>
      <c r="T7" s="40">
        <v>20</v>
      </c>
      <c r="U7" s="40">
        <v>21</v>
      </c>
      <c r="V7" s="40">
        <v>22</v>
      </c>
      <c r="W7" s="393">
        <v>23</v>
      </c>
      <c r="X7" s="40">
        <v>24</v>
      </c>
      <c r="Y7" s="412">
        <v>25</v>
      </c>
      <c r="Z7" s="40">
        <v>26</v>
      </c>
      <c r="AA7" s="434">
        <v>27</v>
      </c>
      <c r="AB7" s="40">
        <v>28</v>
      </c>
      <c r="AC7" s="490">
        <v>29</v>
      </c>
      <c r="AD7" s="40">
        <v>30</v>
      </c>
      <c r="AE7" s="40">
        <v>31</v>
      </c>
      <c r="AF7" s="40">
        <v>32</v>
      </c>
      <c r="AG7" s="40">
        <v>33</v>
      </c>
      <c r="AH7" s="40">
        <v>34</v>
      </c>
    </row>
    <row r="8" spans="1:35" s="21" customFormat="1" ht="31.5" customHeight="1" x14ac:dyDescent="0.25">
      <c r="A8" s="556"/>
      <c r="B8" s="559" t="s">
        <v>23</v>
      </c>
      <c r="C8" s="69" t="s">
        <v>20</v>
      </c>
      <c r="D8" s="70">
        <f>D9+D10+D11</f>
        <v>31437.379300000001</v>
      </c>
      <c r="E8" s="418">
        <f>E9+E10+E11</f>
        <v>25452.470300000001</v>
      </c>
      <c r="F8" s="70">
        <f>F9+F10+F11</f>
        <v>24146.860999999997</v>
      </c>
      <c r="G8" s="165">
        <f>G9+G10+G11</f>
        <v>24146.860999999997</v>
      </c>
      <c r="H8" s="70">
        <f>IFERROR(G8/D8*100,0)</f>
        <v>76.809395495635329</v>
      </c>
      <c r="I8" s="70">
        <f>IFERROR(G8/E8*100,0)</f>
        <v>94.870402422196307</v>
      </c>
      <c r="J8" s="71">
        <f t="shared" ref="J8:AF8" si="0">J9+J10+J11</f>
        <v>3176.6419999999998</v>
      </c>
      <c r="K8" s="206">
        <f t="shared" si="0"/>
        <v>1905.587</v>
      </c>
      <c r="L8" s="71">
        <f t="shared" si="0"/>
        <v>2926.279</v>
      </c>
      <c r="M8" s="268">
        <f t="shared" si="0"/>
        <v>3911.8990000000003</v>
      </c>
      <c r="N8" s="71">
        <f t="shared" si="0"/>
        <v>2040.452</v>
      </c>
      <c r="O8" s="83">
        <f t="shared" si="0"/>
        <v>1628.4370000000001</v>
      </c>
      <c r="P8" s="71">
        <f t="shared" si="0"/>
        <v>2920.9303</v>
      </c>
      <c r="Q8" s="221">
        <f t="shared" si="0"/>
        <v>2160.1549999999997</v>
      </c>
      <c r="R8" s="71">
        <f t="shared" si="0"/>
        <v>2459.6239999999998</v>
      </c>
      <c r="S8" s="331">
        <f t="shared" si="0"/>
        <v>2012.037</v>
      </c>
      <c r="T8" s="71">
        <f t="shared" si="0"/>
        <v>2130.902</v>
      </c>
      <c r="U8" s="71">
        <f t="shared" si="0"/>
        <v>2990.71</v>
      </c>
      <c r="V8" s="71">
        <f t="shared" si="0"/>
        <v>2978.2</v>
      </c>
      <c r="W8" s="238">
        <f t="shared" si="0"/>
        <v>2718.4050000000002</v>
      </c>
      <c r="X8" s="71">
        <f t="shared" si="0"/>
        <v>2314.9589999999998</v>
      </c>
      <c r="Y8" s="277">
        <f t="shared" si="0"/>
        <v>1764.7130000000002</v>
      </c>
      <c r="Z8" s="71">
        <f t="shared" si="0"/>
        <v>1996.318</v>
      </c>
      <c r="AA8" s="435">
        <f t="shared" si="0"/>
        <v>2233.3999999999996</v>
      </c>
      <c r="AB8" s="71">
        <f t="shared" si="0"/>
        <v>2508.1639999999998</v>
      </c>
      <c r="AC8" s="185">
        <f t="shared" si="0"/>
        <v>2821.518</v>
      </c>
      <c r="AD8" s="71">
        <f t="shared" si="0"/>
        <v>1944.9170000000001</v>
      </c>
      <c r="AE8" s="71">
        <f t="shared" si="0"/>
        <v>0</v>
      </c>
      <c r="AF8" s="71">
        <f t="shared" si="0"/>
        <v>4039.9919999999993</v>
      </c>
      <c r="AG8" s="71">
        <f>AG9+AG10+AG11</f>
        <v>0</v>
      </c>
      <c r="AH8" s="72"/>
    </row>
    <row r="9" spans="1:35" s="21" customFormat="1" ht="31.5" customHeight="1" x14ac:dyDescent="0.25">
      <c r="A9" s="557"/>
      <c r="B9" s="560"/>
      <c r="C9" s="124" t="s">
        <v>52</v>
      </c>
      <c r="D9" s="70">
        <f>SUM(J9,L9,N9,P9,R9,T9,V9,X9,Z9,AB9,AD9,AF9)</f>
        <v>4.5999999999999996</v>
      </c>
      <c r="E9" s="418">
        <f>J9+P9+N9+L9+R9+T9+V9+X9+Z9+AB9</f>
        <v>4.5999999999999996</v>
      </c>
      <c r="F9" s="70">
        <f>G9</f>
        <v>4.59</v>
      </c>
      <c r="G9" s="165">
        <f>SUM(K9,M9,O9,Q9,S9,U9,W9,Y9,AA9,AC9,AE9,AG9)</f>
        <v>4.59</v>
      </c>
      <c r="H9" s="70">
        <f>IFERROR(G9/D9*100,0)</f>
        <v>99.782608695652172</v>
      </c>
      <c r="I9" s="70">
        <f>IFERROR(G9/E9*100,0)</f>
        <v>99.782608695652172</v>
      </c>
      <c r="J9" s="71">
        <f t="shared" ref="J9:AF9" si="1">J22</f>
        <v>0</v>
      </c>
      <c r="K9" s="206">
        <f t="shared" si="1"/>
        <v>0</v>
      </c>
      <c r="L9" s="71">
        <f t="shared" si="1"/>
        <v>0</v>
      </c>
      <c r="M9" s="268">
        <f t="shared" si="1"/>
        <v>0</v>
      </c>
      <c r="N9" s="71">
        <f t="shared" si="1"/>
        <v>0</v>
      </c>
      <c r="O9" s="83">
        <f t="shared" si="1"/>
        <v>0</v>
      </c>
      <c r="P9" s="71">
        <f t="shared" si="1"/>
        <v>1.8</v>
      </c>
      <c r="Q9" s="221">
        <f t="shared" si="1"/>
        <v>1.8</v>
      </c>
      <c r="R9" s="71">
        <f t="shared" si="1"/>
        <v>0</v>
      </c>
      <c r="S9" s="331">
        <f t="shared" si="1"/>
        <v>0</v>
      </c>
      <c r="T9" s="71">
        <f t="shared" si="1"/>
        <v>0</v>
      </c>
      <c r="U9" s="71">
        <f t="shared" si="1"/>
        <v>0</v>
      </c>
      <c r="V9" s="71">
        <f t="shared" si="1"/>
        <v>0</v>
      </c>
      <c r="W9" s="238">
        <f t="shared" si="1"/>
        <v>0</v>
      </c>
      <c r="X9" s="71">
        <f t="shared" si="1"/>
        <v>0</v>
      </c>
      <c r="Y9" s="277">
        <f t="shared" si="1"/>
        <v>0</v>
      </c>
      <c r="Z9" s="71">
        <f t="shared" si="1"/>
        <v>0</v>
      </c>
      <c r="AA9" s="435">
        <f t="shared" si="1"/>
        <v>0</v>
      </c>
      <c r="AB9" s="71">
        <f t="shared" si="1"/>
        <v>2.8</v>
      </c>
      <c r="AC9" s="185">
        <f t="shared" si="1"/>
        <v>2.79</v>
      </c>
      <c r="AD9" s="71">
        <f t="shared" si="1"/>
        <v>0</v>
      </c>
      <c r="AE9" s="71">
        <f t="shared" si="1"/>
        <v>0</v>
      </c>
      <c r="AF9" s="71">
        <f t="shared" si="1"/>
        <v>0</v>
      </c>
      <c r="AG9" s="71">
        <f>AG22</f>
        <v>0</v>
      </c>
      <c r="AH9" s="72"/>
    </row>
    <row r="10" spans="1:35" s="21" customFormat="1" ht="31.5" customHeight="1" x14ac:dyDescent="0.25">
      <c r="A10" s="557"/>
      <c r="B10" s="560"/>
      <c r="C10" s="73" t="s">
        <v>22</v>
      </c>
      <c r="D10" s="70">
        <f>SUM(J10,L10,N10,P10,R10,T10,V10,X10,Z10,AB10,AD10,AF10)</f>
        <v>12820.499</v>
      </c>
      <c r="E10" s="418">
        <f>J10+L10+N10+P10+R10+T10+V10+X10+Z10+AB10</f>
        <v>10654.508</v>
      </c>
      <c r="F10" s="70">
        <f>G10</f>
        <v>9553.402</v>
      </c>
      <c r="G10" s="165">
        <f>SUM(K10,M10,O10,Q10,S10,U10,W10,Y10,AA10,AC10,AE10,AG10)</f>
        <v>9553.402</v>
      </c>
      <c r="H10" s="70">
        <f>IFERROR(G10/D10*100,0)</f>
        <v>74.516615928911975</v>
      </c>
      <c r="I10" s="70">
        <f>IFERROR(G10/E10*100,0)</f>
        <v>89.665351042019026</v>
      </c>
      <c r="J10" s="71">
        <f>J14+J19+J35</f>
        <v>1383.2259999999999</v>
      </c>
      <c r="K10" s="206">
        <f>K14+K19+K35</f>
        <v>757.19600000000003</v>
      </c>
      <c r="L10" s="71">
        <f t="shared" ref="L10:AF10" si="2">L14+L19+L35</f>
        <v>1010.528</v>
      </c>
      <c r="M10" s="268">
        <f t="shared" si="2"/>
        <v>1181.345</v>
      </c>
      <c r="N10" s="71">
        <f t="shared" si="2"/>
        <v>898.98299999999995</v>
      </c>
      <c r="O10" s="83">
        <f t="shared" si="2"/>
        <v>494.72199999999998</v>
      </c>
      <c r="P10" s="71">
        <f t="shared" si="2"/>
        <v>1372.7380000000001</v>
      </c>
      <c r="Q10" s="221">
        <f>Q14+Q19+Q35</f>
        <v>794.66199999999992</v>
      </c>
      <c r="R10" s="71">
        <f t="shared" si="2"/>
        <v>888.96100000000001</v>
      </c>
      <c r="S10" s="331">
        <f t="shared" si="2"/>
        <v>1000.4300000000001</v>
      </c>
      <c r="T10" s="71">
        <f t="shared" si="2"/>
        <v>952.7170000000001</v>
      </c>
      <c r="U10" s="71">
        <f t="shared" si="2"/>
        <v>1345.46</v>
      </c>
      <c r="V10" s="71">
        <f t="shared" si="2"/>
        <v>1430.952</v>
      </c>
      <c r="W10" s="238">
        <f t="shared" si="2"/>
        <v>1218.701</v>
      </c>
      <c r="X10" s="71">
        <f t="shared" si="2"/>
        <v>971.00700000000006</v>
      </c>
      <c r="Y10" s="277">
        <f t="shared" si="2"/>
        <v>627.68899999999996</v>
      </c>
      <c r="Z10" s="71">
        <f t="shared" si="2"/>
        <v>817.31</v>
      </c>
      <c r="AA10" s="435">
        <f t="shared" si="2"/>
        <v>827.51</v>
      </c>
      <c r="AB10" s="71">
        <f t="shared" si="2"/>
        <v>928.08600000000001</v>
      </c>
      <c r="AC10" s="185">
        <f t="shared" si="2"/>
        <v>1305.6869999999999</v>
      </c>
      <c r="AD10" s="71">
        <f t="shared" si="2"/>
        <v>781.66000000000008</v>
      </c>
      <c r="AE10" s="71">
        <f t="shared" si="2"/>
        <v>0</v>
      </c>
      <c r="AF10" s="71">
        <f t="shared" si="2"/>
        <v>1384.3309999999999</v>
      </c>
      <c r="AG10" s="71">
        <f>AG14+AG19+AG35</f>
        <v>0</v>
      </c>
      <c r="AH10" s="72"/>
    </row>
    <row r="11" spans="1:35" s="22" customFormat="1" ht="38.25" customHeight="1" x14ac:dyDescent="0.25">
      <c r="A11" s="557"/>
      <c r="B11" s="560"/>
      <c r="C11" s="73" t="s">
        <v>21</v>
      </c>
      <c r="D11" s="70">
        <f>SUM(J11,L11,N11,P11,R11,T11,V11,X11,Z11,AB11,AD11,AF11)</f>
        <v>18612.280299999999</v>
      </c>
      <c r="E11" s="418">
        <f>J11+L11+N11+P11+R11+T11+V11+X11+Z11+AB11</f>
        <v>14793.362299999999</v>
      </c>
      <c r="F11" s="70">
        <f>G11</f>
        <v>14588.868999999999</v>
      </c>
      <c r="G11" s="165">
        <f>SUM(K11,M11,O11,Q11,S11,U11,W11,Y11,AA11,AC11,AE11,AG11)</f>
        <v>14588.868999999999</v>
      </c>
      <c r="H11" s="70">
        <f>IFERROR(G11/D11*100,0)</f>
        <v>78.38302865017566</v>
      </c>
      <c r="I11" s="70">
        <f>IFERROR(G11/E11*100,0)</f>
        <v>98.617668547197013</v>
      </c>
      <c r="J11" s="70">
        <f>J15+J17+J20+J24+26+J29+J31+J33+J38</f>
        <v>1793.4160000000002</v>
      </c>
      <c r="K11" s="207">
        <f>K15+K17+K20+K24+K26+K29+K31+K33+K38</f>
        <v>1148.3910000000001</v>
      </c>
      <c r="L11" s="70">
        <f>L15+L17+L20+L24+L26+L29+L31+L33+L38</f>
        <v>1915.751</v>
      </c>
      <c r="M11" s="269">
        <f>M15+M17+M20+M24+M26+M29+M31+M33+M38</f>
        <v>2730.5540000000001</v>
      </c>
      <c r="N11" s="70">
        <f t="shared" ref="N11:AE11" si="3">N15+N17+N20+N24+N26+N29+N31+N33+N38</f>
        <v>1141.4690000000001</v>
      </c>
      <c r="O11" s="82">
        <f>O15+O17+O20+O24+O26+O29+O31+O33+O38</f>
        <v>1133.7150000000001</v>
      </c>
      <c r="P11" s="70">
        <f t="shared" si="3"/>
        <v>1546.3922999999998</v>
      </c>
      <c r="Q11" s="220">
        <f>Q15+Q17+Q20+Q24+Q26+Q29+Q31+Q33+Q38</f>
        <v>1363.693</v>
      </c>
      <c r="R11" s="70">
        <f>R15+R17+R20+R24+R26+R29+R31+R33+R38</f>
        <v>1570.663</v>
      </c>
      <c r="S11" s="332">
        <f>S15+S17+S20+S24+S26+S29+S31+S33+S38</f>
        <v>1011.607</v>
      </c>
      <c r="T11" s="70">
        <f t="shared" si="3"/>
        <v>1178.1849999999999</v>
      </c>
      <c r="U11" s="70">
        <f t="shared" si="3"/>
        <v>1645.25</v>
      </c>
      <c r="V11" s="70">
        <f t="shared" si="3"/>
        <v>1547.248</v>
      </c>
      <c r="W11" s="237">
        <f t="shared" si="3"/>
        <v>1499.7040000000002</v>
      </c>
      <c r="X11" s="70">
        <f t="shared" si="3"/>
        <v>1343.952</v>
      </c>
      <c r="Y11" s="276">
        <f t="shared" si="3"/>
        <v>1137.0240000000001</v>
      </c>
      <c r="Z11" s="70">
        <f t="shared" si="3"/>
        <v>1179.008</v>
      </c>
      <c r="AA11" s="436">
        <f>AA15+AA17+AA20+AA24+AA26+AA29+AA31+AA33+AA38</f>
        <v>1405.8899999999999</v>
      </c>
      <c r="AB11" s="70">
        <f t="shared" si="3"/>
        <v>1577.278</v>
      </c>
      <c r="AC11" s="184">
        <f t="shared" si="3"/>
        <v>1513.0410000000002</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151</v>
      </c>
      <c r="B12" s="596" t="s">
        <v>217</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6" customFormat="1" ht="218.25" customHeight="1" x14ac:dyDescent="0.25">
      <c r="A13" s="556" t="s">
        <v>152</v>
      </c>
      <c r="B13" s="514" t="s">
        <v>218</v>
      </c>
      <c r="C13" s="213" t="s">
        <v>20</v>
      </c>
      <c r="D13" s="214">
        <f>D14+D15</f>
        <v>645.1</v>
      </c>
      <c r="E13" s="419">
        <f>E14+E15</f>
        <v>486.07500000000005</v>
      </c>
      <c r="F13" s="214">
        <f t="shared" ref="F13:AF13" si="4">F14+F15</f>
        <v>392.774</v>
      </c>
      <c r="G13" s="398">
        <f>G14+G15</f>
        <v>392.774</v>
      </c>
      <c r="H13" s="214">
        <f t="shared" ref="H13:H26" si="5">IFERROR(G13/D13*100,0)</f>
        <v>60.885754146643933</v>
      </c>
      <c r="I13" s="214">
        <f t="shared" ref="I13:I26" si="6">IFERROR(G13/E13*100,0)</f>
        <v>80.80522553103944</v>
      </c>
      <c r="J13" s="214">
        <f t="shared" si="4"/>
        <v>0</v>
      </c>
      <c r="K13" s="214">
        <f t="shared" si="4"/>
        <v>0</v>
      </c>
      <c r="L13" s="214">
        <f t="shared" si="4"/>
        <v>0</v>
      </c>
      <c r="M13" s="268">
        <f t="shared" si="4"/>
        <v>0</v>
      </c>
      <c r="N13" s="214">
        <f t="shared" si="4"/>
        <v>7</v>
      </c>
      <c r="O13" s="83">
        <f t="shared" si="4"/>
        <v>0</v>
      </c>
      <c r="P13" s="214">
        <f t="shared" si="4"/>
        <v>159.02500000000001</v>
      </c>
      <c r="Q13" s="221">
        <f t="shared" si="4"/>
        <v>104.75999999999999</v>
      </c>
      <c r="R13" s="214">
        <f t="shared" si="4"/>
        <v>0</v>
      </c>
      <c r="S13" s="331">
        <f t="shared" si="4"/>
        <v>0</v>
      </c>
      <c r="T13" s="214">
        <f t="shared" si="4"/>
        <v>0</v>
      </c>
      <c r="U13" s="214">
        <f t="shared" si="4"/>
        <v>6.25</v>
      </c>
      <c r="V13" s="214">
        <f t="shared" si="4"/>
        <v>159.02500000000001</v>
      </c>
      <c r="W13" s="238">
        <f t="shared" si="4"/>
        <v>153.60400000000001</v>
      </c>
      <c r="X13" s="214">
        <f t="shared" si="4"/>
        <v>0</v>
      </c>
      <c r="Y13" s="277">
        <f t="shared" si="4"/>
        <v>0</v>
      </c>
      <c r="Z13" s="214">
        <f t="shared" si="4"/>
        <v>0</v>
      </c>
      <c r="AA13" s="435">
        <f t="shared" si="4"/>
        <v>0</v>
      </c>
      <c r="AB13" s="214">
        <f t="shared" si="4"/>
        <v>161.02500000000001</v>
      </c>
      <c r="AC13" s="185">
        <f t="shared" si="4"/>
        <v>128.16</v>
      </c>
      <c r="AD13" s="214">
        <f t="shared" si="4"/>
        <v>0</v>
      </c>
      <c r="AE13" s="214">
        <f t="shared" si="4"/>
        <v>0</v>
      </c>
      <c r="AF13" s="214">
        <f t="shared" si="4"/>
        <v>159.02500000000001</v>
      </c>
      <c r="AG13" s="214">
        <f>AG14+AG15</f>
        <v>0</v>
      </c>
      <c r="AH13" s="355" t="s">
        <v>425</v>
      </c>
      <c r="AI13" s="215"/>
    </row>
    <row r="14" spans="1:35" s="21" customFormat="1" ht="73.5" customHeight="1" x14ac:dyDescent="0.25">
      <c r="A14" s="557"/>
      <c r="B14" s="602"/>
      <c r="C14" s="73" t="s">
        <v>22</v>
      </c>
      <c r="D14" s="74">
        <f>SUM(J14,L14,N14,P14,R14,T14,V14,X14,Z14,AB14,AD14,AF14)</f>
        <v>147.4</v>
      </c>
      <c r="E14" s="420">
        <f>J14+L14+N14+P14+R14+T14+V14+X14+Z14+AB14+AD14</f>
        <v>110.55000000000001</v>
      </c>
      <c r="F14" s="74">
        <f>G14</f>
        <v>110.55000000000001</v>
      </c>
      <c r="G14" s="171">
        <f>SUM(K14,M14,O14,Q14,S14,U14,W14,Y14,AA14,AC14,AE14,AG14)</f>
        <v>110.55000000000001</v>
      </c>
      <c r="H14" s="74">
        <f t="shared" si="5"/>
        <v>75</v>
      </c>
      <c r="I14" s="74">
        <f t="shared" si="6"/>
        <v>100</v>
      </c>
      <c r="J14" s="67">
        <v>0</v>
      </c>
      <c r="K14" s="208">
        <v>0</v>
      </c>
      <c r="L14" s="67">
        <v>0</v>
      </c>
      <c r="M14" s="270">
        <v>0</v>
      </c>
      <c r="N14" s="67">
        <v>0</v>
      </c>
      <c r="O14" s="86">
        <v>0</v>
      </c>
      <c r="P14" s="67">
        <v>36.85</v>
      </c>
      <c r="Q14" s="338">
        <v>36.85</v>
      </c>
      <c r="R14" s="67">
        <v>0</v>
      </c>
      <c r="S14" s="333">
        <v>0</v>
      </c>
      <c r="T14" s="67">
        <v>0</v>
      </c>
      <c r="U14" s="67">
        <v>0</v>
      </c>
      <c r="V14" s="71">
        <v>36.85</v>
      </c>
      <c r="W14" s="394">
        <v>36.85</v>
      </c>
      <c r="X14" s="67">
        <v>0</v>
      </c>
      <c r="Y14" s="413">
        <v>0</v>
      </c>
      <c r="Z14" s="67">
        <v>0</v>
      </c>
      <c r="AA14" s="437">
        <v>0</v>
      </c>
      <c r="AB14" s="67">
        <v>36.85</v>
      </c>
      <c r="AC14" s="193">
        <v>36.85</v>
      </c>
      <c r="AD14" s="67">
        <v>0</v>
      </c>
      <c r="AE14" s="67">
        <v>0</v>
      </c>
      <c r="AF14" s="67">
        <v>36.85</v>
      </c>
      <c r="AG14" s="67">
        <v>0</v>
      </c>
      <c r="AH14" s="72"/>
      <c r="AI14" s="23"/>
    </row>
    <row r="15" spans="1:35" s="21" customFormat="1" ht="29.25" customHeight="1" x14ac:dyDescent="0.25">
      <c r="A15" s="609"/>
      <c r="B15" s="650"/>
      <c r="C15" s="73" t="s">
        <v>21</v>
      </c>
      <c r="D15" s="74">
        <f>SUM(J15,L15,N15,P15,R15,T15,V15,X15,Z15,AB15,AD15,AF15)</f>
        <v>497.70000000000005</v>
      </c>
      <c r="E15" s="420">
        <f>J15+L15+N15+P15+R15+T15+V15+X15+Z15+AB15+AD15</f>
        <v>375.52500000000003</v>
      </c>
      <c r="F15" s="74">
        <f>G15</f>
        <v>282.22399999999999</v>
      </c>
      <c r="G15" s="171">
        <f>SUM(K15,M15,O15,Q15,S15,U15,W15,Y15,AA15,AC15,AE15,AG15)</f>
        <v>282.22399999999999</v>
      </c>
      <c r="H15" s="74">
        <f t="shared" si="5"/>
        <v>56.705645971468755</v>
      </c>
      <c r="I15" s="74">
        <f t="shared" si="6"/>
        <v>75.154517009519992</v>
      </c>
      <c r="J15" s="67">
        <v>0</v>
      </c>
      <c r="K15" s="208">
        <v>0</v>
      </c>
      <c r="L15" s="67">
        <v>0</v>
      </c>
      <c r="M15" s="270">
        <v>0</v>
      </c>
      <c r="N15" s="67">
        <v>7</v>
      </c>
      <c r="O15" s="86">
        <v>0</v>
      </c>
      <c r="P15" s="67">
        <v>122.175</v>
      </c>
      <c r="Q15" s="338">
        <v>67.91</v>
      </c>
      <c r="R15" s="67">
        <v>0</v>
      </c>
      <c r="S15" s="333">
        <v>0</v>
      </c>
      <c r="T15" s="67">
        <v>0</v>
      </c>
      <c r="U15" s="67">
        <v>6.25</v>
      </c>
      <c r="V15" s="71">
        <v>122.175</v>
      </c>
      <c r="W15" s="394">
        <v>116.754</v>
      </c>
      <c r="X15" s="67">
        <v>0</v>
      </c>
      <c r="Y15" s="413">
        <v>0</v>
      </c>
      <c r="Z15" s="67">
        <v>0</v>
      </c>
      <c r="AA15" s="437">
        <v>0</v>
      </c>
      <c r="AB15" s="67">
        <v>124.175</v>
      </c>
      <c r="AC15" s="193">
        <v>91.31</v>
      </c>
      <c r="AD15" s="67">
        <v>0</v>
      </c>
      <c r="AE15" s="67">
        <v>0</v>
      </c>
      <c r="AF15" s="67">
        <v>122.175</v>
      </c>
      <c r="AG15" s="67">
        <v>0</v>
      </c>
      <c r="AH15" s="72"/>
      <c r="AI15" s="23"/>
    </row>
    <row r="16" spans="1:35" s="212" customFormat="1" ht="82.5" customHeight="1" x14ac:dyDescent="0.25">
      <c r="A16" s="556" t="s">
        <v>219</v>
      </c>
      <c r="B16" s="514" t="s">
        <v>220</v>
      </c>
      <c r="C16" s="210" t="s">
        <v>20</v>
      </c>
      <c r="D16" s="217">
        <f>D17</f>
        <v>9985.8989999999994</v>
      </c>
      <c r="E16" s="418">
        <f>E17</f>
        <v>7340.5679999999993</v>
      </c>
      <c r="F16" s="217">
        <f>F17</f>
        <v>7040.5379999999996</v>
      </c>
      <c r="G16" s="399">
        <f>G17</f>
        <v>7040.5379999999996</v>
      </c>
      <c r="H16" s="217">
        <f t="shared" si="5"/>
        <v>70.504798816811586</v>
      </c>
      <c r="I16" s="217">
        <f t="shared" si="6"/>
        <v>95.912714111496555</v>
      </c>
      <c r="J16" s="211">
        <f t="shared" ref="J16:AG16" si="7">J17</f>
        <v>829.63499999999999</v>
      </c>
      <c r="K16" s="211">
        <f t="shared" si="7"/>
        <v>645.41700000000003</v>
      </c>
      <c r="L16" s="211">
        <f t="shared" si="7"/>
        <v>723.43700000000001</v>
      </c>
      <c r="M16" s="268">
        <f t="shared" si="7"/>
        <v>709.16099999999994</v>
      </c>
      <c r="N16" s="211">
        <f t="shared" si="7"/>
        <v>723.43700000000001</v>
      </c>
      <c r="O16" s="83">
        <f t="shared" si="7"/>
        <v>710.47900000000004</v>
      </c>
      <c r="P16" s="211">
        <f t="shared" si="7"/>
        <v>723.43700000000001</v>
      </c>
      <c r="Q16" s="221">
        <f t="shared" si="7"/>
        <v>710.17399999999998</v>
      </c>
      <c r="R16" s="211">
        <f>R17</f>
        <v>723.43700000000001</v>
      </c>
      <c r="S16" s="331">
        <f t="shared" si="7"/>
        <v>710.84500000000003</v>
      </c>
      <c r="T16" s="211">
        <f>T17</f>
        <v>723.43700000000001</v>
      </c>
      <c r="U16" s="211">
        <f t="shared" si="7"/>
        <v>710.27</v>
      </c>
      <c r="V16" s="211">
        <f>V17</f>
        <v>723.43700000000001</v>
      </c>
      <c r="W16" s="238">
        <f t="shared" si="7"/>
        <v>709.67899999999997</v>
      </c>
      <c r="X16" s="211">
        <f>X17</f>
        <v>723.43700000000001</v>
      </c>
      <c r="Y16" s="277">
        <f t="shared" si="7"/>
        <v>710.01800000000003</v>
      </c>
      <c r="Z16" s="211">
        <f>Z17</f>
        <v>723.43700000000001</v>
      </c>
      <c r="AA16" s="435">
        <f t="shared" si="7"/>
        <v>715.82</v>
      </c>
      <c r="AB16" s="211">
        <f>AB17</f>
        <v>723.43700000000001</v>
      </c>
      <c r="AC16" s="185">
        <f t="shared" si="7"/>
        <v>708.67499999999995</v>
      </c>
      <c r="AD16" s="211">
        <f>AD17</f>
        <v>723.43700000000001</v>
      </c>
      <c r="AE16" s="211">
        <f t="shared" si="7"/>
        <v>0</v>
      </c>
      <c r="AF16" s="211">
        <f>AF17</f>
        <v>1921.894</v>
      </c>
      <c r="AG16" s="211">
        <f t="shared" si="7"/>
        <v>0</v>
      </c>
      <c r="AH16" s="357" t="s">
        <v>424</v>
      </c>
      <c r="AI16" s="218"/>
    </row>
    <row r="17" spans="1:35" s="22" customFormat="1" ht="56.25" customHeight="1" x14ac:dyDescent="0.25">
      <c r="A17" s="558"/>
      <c r="B17" s="515"/>
      <c r="C17" s="73" t="s">
        <v>21</v>
      </c>
      <c r="D17" s="74">
        <f>SUM(J17,L17,N17,P17,R17,T17,V17,X17,Z17,AB17,AD17,AF17)</f>
        <v>9985.8989999999994</v>
      </c>
      <c r="E17" s="420">
        <f>J17+L17+N17+P17+R17+T17+V17+X17+Z17+AB17</f>
        <v>7340.5679999999993</v>
      </c>
      <c r="F17" s="74">
        <f>G17</f>
        <v>7040.5379999999996</v>
      </c>
      <c r="G17" s="171">
        <f>SUM(K17,M17,O17,Q17,S17,U17,W17,Y17,AA17,AC17,AE17,AG17)</f>
        <v>7040.5379999999996</v>
      </c>
      <c r="H17" s="74">
        <f t="shared" si="5"/>
        <v>70.504798816811586</v>
      </c>
      <c r="I17" s="74">
        <f t="shared" si="6"/>
        <v>95.912714111496555</v>
      </c>
      <c r="J17" s="67">
        <v>829.63499999999999</v>
      </c>
      <c r="K17" s="208">
        <v>645.41700000000003</v>
      </c>
      <c r="L17" s="67">
        <v>723.43700000000001</v>
      </c>
      <c r="M17" s="270">
        <v>709.16099999999994</v>
      </c>
      <c r="N17" s="67">
        <v>723.43700000000001</v>
      </c>
      <c r="O17" s="86">
        <v>710.47900000000004</v>
      </c>
      <c r="P17" s="67">
        <v>723.43700000000001</v>
      </c>
      <c r="Q17" s="338">
        <v>710.17399999999998</v>
      </c>
      <c r="R17" s="67">
        <v>723.43700000000001</v>
      </c>
      <c r="S17" s="333">
        <v>710.84500000000003</v>
      </c>
      <c r="T17" s="67">
        <v>723.43700000000001</v>
      </c>
      <c r="U17" s="67">
        <v>710.27</v>
      </c>
      <c r="V17" s="67">
        <v>723.43700000000001</v>
      </c>
      <c r="W17" s="394">
        <v>709.67899999999997</v>
      </c>
      <c r="X17" s="67">
        <v>723.43700000000001</v>
      </c>
      <c r="Y17" s="413">
        <v>710.01800000000003</v>
      </c>
      <c r="Z17" s="67">
        <v>723.43700000000001</v>
      </c>
      <c r="AA17" s="437">
        <v>715.82</v>
      </c>
      <c r="AB17" s="67">
        <v>723.43700000000001</v>
      </c>
      <c r="AC17" s="193">
        <v>708.67499999999995</v>
      </c>
      <c r="AD17" s="67">
        <v>723.43700000000001</v>
      </c>
      <c r="AE17" s="67">
        <v>0</v>
      </c>
      <c r="AF17" s="67">
        <v>1921.894</v>
      </c>
      <c r="AG17" s="67">
        <v>0</v>
      </c>
      <c r="AH17" s="75"/>
      <c r="AI17" s="20"/>
    </row>
    <row r="18" spans="1:35" s="223" customFormat="1" ht="55.5" customHeight="1" x14ac:dyDescent="0.25">
      <c r="A18" s="556" t="s">
        <v>221</v>
      </c>
      <c r="B18" s="514" t="s">
        <v>222</v>
      </c>
      <c r="C18" s="219" t="s">
        <v>20</v>
      </c>
      <c r="D18" s="220">
        <f>D19+D20</f>
        <v>2482.8030000000003</v>
      </c>
      <c r="E18" s="418">
        <f>E19+E20</f>
        <v>2084.4610000000002</v>
      </c>
      <c r="F18" s="220">
        <f t="shared" ref="F18:G18" si="8">F19+F20</f>
        <v>1783.9930000000002</v>
      </c>
      <c r="G18" s="400">
        <f t="shared" si="8"/>
        <v>1783.9930000000002</v>
      </c>
      <c r="H18" s="220">
        <f t="shared" si="5"/>
        <v>71.85398922105378</v>
      </c>
      <c r="I18" s="220">
        <f t="shared" si="6"/>
        <v>85.585338368048141</v>
      </c>
      <c r="J18" s="221">
        <f t="shared" ref="J18:AF18" si="9">J19+J20</f>
        <v>254.137</v>
      </c>
      <c r="K18" s="221">
        <f>K19+K20</f>
        <v>146.232</v>
      </c>
      <c r="L18" s="221">
        <f t="shared" si="9"/>
        <v>180.916</v>
      </c>
      <c r="M18" s="268">
        <f t="shared" si="9"/>
        <v>206.92600000000002</v>
      </c>
      <c r="N18" s="221">
        <f t="shared" si="9"/>
        <v>208.024</v>
      </c>
      <c r="O18" s="83">
        <f t="shared" si="9"/>
        <v>0</v>
      </c>
      <c r="P18" s="221">
        <f t="shared" si="9"/>
        <v>168.93299999999999</v>
      </c>
      <c r="Q18" s="221">
        <f t="shared" si="9"/>
        <v>204.43299999999999</v>
      </c>
      <c r="R18" s="221">
        <f t="shared" si="9"/>
        <v>151.97900000000001</v>
      </c>
      <c r="S18" s="331">
        <f t="shared" si="9"/>
        <v>106.2</v>
      </c>
      <c r="T18" s="221">
        <f t="shared" si="9"/>
        <v>379.435</v>
      </c>
      <c r="U18" s="221">
        <f t="shared" si="9"/>
        <v>188.45</v>
      </c>
      <c r="V18" s="221">
        <f t="shared" si="9"/>
        <v>273.57</v>
      </c>
      <c r="W18" s="238">
        <f t="shared" si="9"/>
        <v>420.29</v>
      </c>
      <c r="X18" s="221">
        <f t="shared" si="9"/>
        <v>151.97800000000001</v>
      </c>
      <c r="Y18" s="277">
        <f t="shared" si="9"/>
        <v>117.736</v>
      </c>
      <c r="Z18" s="221">
        <f t="shared" si="9"/>
        <v>151.97800000000001</v>
      </c>
      <c r="AA18" s="435">
        <f t="shared" si="9"/>
        <v>185.91</v>
      </c>
      <c r="AB18" s="221">
        <f t="shared" si="9"/>
        <v>163.511</v>
      </c>
      <c r="AC18" s="185">
        <f t="shared" si="9"/>
        <v>207.816</v>
      </c>
      <c r="AD18" s="221">
        <f t="shared" si="9"/>
        <v>151.97800000000001</v>
      </c>
      <c r="AE18" s="221">
        <f t="shared" si="9"/>
        <v>0</v>
      </c>
      <c r="AF18" s="221">
        <f t="shared" si="9"/>
        <v>246.364</v>
      </c>
      <c r="AG18" s="221">
        <f>AG19+AG20</f>
        <v>0</v>
      </c>
      <c r="AH18" s="358" t="s">
        <v>360</v>
      </c>
      <c r="AI18" s="222"/>
    </row>
    <row r="19" spans="1:35" s="21" customFormat="1" ht="45" customHeight="1" x14ac:dyDescent="0.25">
      <c r="A19" s="557"/>
      <c r="B19" s="602"/>
      <c r="C19" s="73" t="s">
        <v>22</v>
      </c>
      <c r="D19" s="74">
        <f>SUM(J19,L19,N19,P19,R19,T19,V19,X19,Z19,AB19,AD19,AF19)</f>
        <v>2370.4010000000003</v>
      </c>
      <c r="E19" s="420">
        <f>J19+L19+N19+P19+R19+T19+V19+X19+Z19+AB19</f>
        <v>1972.0590000000004</v>
      </c>
      <c r="F19" s="74">
        <f>G19</f>
        <v>1708.7200000000003</v>
      </c>
      <c r="G19" s="171">
        <f>SUM(K19,M19,O19,Q19,S19,U19,W19,Y19,AA19,AC19,AE19,AG19)</f>
        <v>1708.7200000000003</v>
      </c>
      <c r="H19" s="74">
        <f t="shared" si="5"/>
        <v>72.085693517679076</v>
      </c>
      <c r="I19" s="74">
        <f t="shared" si="6"/>
        <v>86.646494856391215</v>
      </c>
      <c r="J19" s="67">
        <v>248.60900000000001</v>
      </c>
      <c r="K19" s="208">
        <v>140.70500000000001</v>
      </c>
      <c r="L19" s="67">
        <v>180.916</v>
      </c>
      <c r="M19" s="270">
        <v>206.376</v>
      </c>
      <c r="N19" s="67">
        <v>208.024</v>
      </c>
      <c r="O19" s="86">
        <v>0</v>
      </c>
      <c r="P19" s="67">
        <v>161.57499999999999</v>
      </c>
      <c r="Q19" s="338">
        <v>197.57</v>
      </c>
      <c r="R19" s="67">
        <v>151.97900000000001</v>
      </c>
      <c r="S19" s="333">
        <v>99.31</v>
      </c>
      <c r="T19" s="67">
        <v>323.03500000000003</v>
      </c>
      <c r="U19" s="67">
        <v>146.72999999999999</v>
      </c>
      <c r="V19" s="67">
        <v>237.81200000000001</v>
      </c>
      <c r="W19" s="394">
        <v>413.43</v>
      </c>
      <c r="X19" s="67">
        <v>151.97800000000001</v>
      </c>
      <c r="Y19" s="413">
        <v>117.736</v>
      </c>
      <c r="Z19" s="67">
        <v>151.97800000000001</v>
      </c>
      <c r="AA19" s="437">
        <v>185.91</v>
      </c>
      <c r="AB19" s="67">
        <v>156.15299999999999</v>
      </c>
      <c r="AC19" s="193">
        <v>200.953</v>
      </c>
      <c r="AD19" s="67">
        <v>151.97800000000001</v>
      </c>
      <c r="AE19" s="67">
        <v>0</v>
      </c>
      <c r="AF19" s="67">
        <v>246.364</v>
      </c>
      <c r="AG19" s="67">
        <v>0</v>
      </c>
      <c r="AH19" s="72"/>
      <c r="AI19" s="20"/>
    </row>
    <row r="20" spans="1:35" s="22" customFormat="1" ht="63" customHeight="1" x14ac:dyDescent="0.25">
      <c r="A20" s="558"/>
      <c r="B20" s="515"/>
      <c r="C20" s="73" t="s">
        <v>21</v>
      </c>
      <c r="D20" s="74">
        <f>SUM(J20,L20,N20,P20,R20,T20,V20,X20,Z20,AB20,AD20,AF20)</f>
        <v>112.40200000000002</v>
      </c>
      <c r="E20" s="420">
        <f>J20+L20+N20+P20+R20+T20+V20+X20+Z20+AB20</f>
        <v>112.40200000000002</v>
      </c>
      <c r="F20" s="74">
        <f>G20</f>
        <v>75.272999999999996</v>
      </c>
      <c r="G20" s="171">
        <f>SUM(K20,M20,O20,Q20,S20,U20,W20,Y20,AA20,AC20,AE20,AG20)</f>
        <v>75.272999999999996</v>
      </c>
      <c r="H20" s="74">
        <f t="shared" si="5"/>
        <v>66.967669614419663</v>
      </c>
      <c r="I20" s="74">
        <f t="shared" si="6"/>
        <v>66.967669614419663</v>
      </c>
      <c r="J20" s="67">
        <v>5.5279999999999996</v>
      </c>
      <c r="K20" s="208">
        <v>5.5270000000000001</v>
      </c>
      <c r="L20" s="67">
        <v>0</v>
      </c>
      <c r="M20" s="270">
        <v>0.55000000000000004</v>
      </c>
      <c r="N20" s="67">
        <v>0</v>
      </c>
      <c r="O20" s="86">
        <v>0</v>
      </c>
      <c r="P20" s="67">
        <v>7.3579999999999997</v>
      </c>
      <c r="Q20" s="338">
        <v>6.8630000000000004</v>
      </c>
      <c r="R20" s="67">
        <v>0</v>
      </c>
      <c r="S20" s="333">
        <v>6.89</v>
      </c>
      <c r="T20" s="67">
        <v>56.4</v>
      </c>
      <c r="U20" s="67">
        <v>41.72</v>
      </c>
      <c r="V20" s="67">
        <v>35.758000000000003</v>
      </c>
      <c r="W20" s="394">
        <v>6.86</v>
      </c>
      <c r="X20" s="67">
        <v>0</v>
      </c>
      <c r="Y20" s="413">
        <v>0</v>
      </c>
      <c r="Z20" s="67">
        <v>0</v>
      </c>
      <c r="AA20" s="437">
        <v>0</v>
      </c>
      <c r="AB20" s="67">
        <v>7.3579999999999997</v>
      </c>
      <c r="AC20" s="193">
        <v>6.8630000000000004</v>
      </c>
      <c r="AD20" s="67">
        <v>0</v>
      </c>
      <c r="AE20" s="67">
        <v>0</v>
      </c>
      <c r="AF20" s="67">
        <v>0</v>
      </c>
      <c r="AG20" s="67">
        <v>0</v>
      </c>
      <c r="AH20" s="75"/>
      <c r="AI20" s="20"/>
    </row>
    <row r="21" spans="1:35" s="229" customFormat="1" ht="84" customHeight="1" x14ac:dyDescent="0.25">
      <c r="A21" s="556" t="s">
        <v>223</v>
      </c>
      <c r="B21" s="514" t="s">
        <v>224</v>
      </c>
      <c r="C21" s="224" t="s">
        <v>20</v>
      </c>
      <c r="D21" s="225">
        <f>D22</f>
        <v>4.5999999999999996</v>
      </c>
      <c r="E21" s="418">
        <f>E22</f>
        <v>4.5999999999999996</v>
      </c>
      <c r="F21" s="225">
        <f t="shared" ref="E21:G37" si="10">F22</f>
        <v>4.59</v>
      </c>
      <c r="G21" s="401">
        <f t="shared" si="10"/>
        <v>4.59</v>
      </c>
      <c r="H21" s="225">
        <f t="shared" si="5"/>
        <v>99.782608695652172</v>
      </c>
      <c r="I21" s="225">
        <f t="shared" si="6"/>
        <v>99.782608695652172</v>
      </c>
      <c r="J21" s="226">
        <f t="shared" ref="J21:AG21" si="11">J22</f>
        <v>0</v>
      </c>
      <c r="K21" s="226">
        <f t="shared" si="11"/>
        <v>0</v>
      </c>
      <c r="L21" s="226">
        <f t="shared" si="11"/>
        <v>0</v>
      </c>
      <c r="M21" s="268">
        <f t="shared" si="11"/>
        <v>0</v>
      </c>
      <c r="N21" s="226">
        <f t="shared" si="11"/>
        <v>0</v>
      </c>
      <c r="O21" s="83">
        <f t="shared" si="11"/>
        <v>0</v>
      </c>
      <c r="P21" s="226">
        <f t="shared" si="11"/>
        <v>1.8</v>
      </c>
      <c r="Q21" s="221">
        <f t="shared" si="11"/>
        <v>1.8</v>
      </c>
      <c r="R21" s="226">
        <f t="shared" si="11"/>
        <v>0</v>
      </c>
      <c r="S21" s="331">
        <f t="shared" si="11"/>
        <v>0</v>
      </c>
      <c r="T21" s="226">
        <f t="shared" si="11"/>
        <v>0</v>
      </c>
      <c r="U21" s="226">
        <f t="shared" si="11"/>
        <v>0</v>
      </c>
      <c r="V21" s="226">
        <f t="shared" si="11"/>
        <v>0</v>
      </c>
      <c r="W21" s="238">
        <f t="shared" si="11"/>
        <v>0</v>
      </c>
      <c r="X21" s="226">
        <f t="shared" si="11"/>
        <v>0</v>
      </c>
      <c r="Y21" s="277">
        <f t="shared" si="11"/>
        <v>0</v>
      </c>
      <c r="Z21" s="226">
        <f t="shared" si="11"/>
        <v>0</v>
      </c>
      <c r="AA21" s="435">
        <f t="shared" si="11"/>
        <v>0</v>
      </c>
      <c r="AB21" s="226">
        <f t="shared" si="11"/>
        <v>2.8</v>
      </c>
      <c r="AC21" s="185">
        <f t="shared" si="11"/>
        <v>2.79</v>
      </c>
      <c r="AD21" s="226">
        <f t="shared" si="11"/>
        <v>0</v>
      </c>
      <c r="AE21" s="226">
        <f t="shared" si="11"/>
        <v>0</v>
      </c>
      <c r="AF21" s="226">
        <f t="shared" si="11"/>
        <v>0</v>
      </c>
      <c r="AG21" s="226">
        <f t="shared" si="11"/>
        <v>0</v>
      </c>
      <c r="AH21" s="356"/>
      <c r="AI21" s="228"/>
    </row>
    <row r="22" spans="1:35" s="22" customFormat="1" ht="64.5" customHeight="1" x14ac:dyDescent="0.25">
      <c r="A22" s="558"/>
      <c r="B22" s="515"/>
      <c r="C22" s="73" t="s">
        <v>52</v>
      </c>
      <c r="D22" s="74">
        <f>SUM(J22,L22,N22,P22,R22,T22,V22,X22,Z22,AB22,AD22,AF22)</f>
        <v>4.5999999999999996</v>
      </c>
      <c r="E22" s="420">
        <f>J22+L22+N22+P22+R22+T22+V22+X22+Z22+AB22</f>
        <v>4.5999999999999996</v>
      </c>
      <c r="F22" s="74">
        <f>G22</f>
        <v>4.59</v>
      </c>
      <c r="G22" s="171">
        <f>SUM(K22,M22,O22,Q22,S22,U22,W22,Y22,AA22,AC22,AE22,AG22)</f>
        <v>4.59</v>
      </c>
      <c r="H22" s="74">
        <f t="shared" si="5"/>
        <v>99.782608695652172</v>
      </c>
      <c r="I22" s="74">
        <f t="shared" si="6"/>
        <v>99.782608695652172</v>
      </c>
      <c r="J22" s="67">
        <v>0</v>
      </c>
      <c r="K22" s="208">
        <v>0</v>
      </c>
      <c r="L22" s="67">
        <v>0</v>
      </c>
      <c r="M22" s="270">
        <v>0</v>
      </c>
      <c r="N22" s="67">
        <v>0</v>
      </c>
      <c r="O22" s="86">
        <v>0</v>
      </c>
      <c r="P22" s="67">
        <v>1.8</v>
      </c>
      <c r="Q22" s="338">
        <v>1.8</v>
      </c>
      <c r="R22" s="67">
        <v>0</v>
      </c>
      <c r="S22" s="333">
        <v>0</v>
      </c>
      <c r="T22" s="67">
        <v>0</v>
      </c>
      <c r="U22" s="67">
        <v>0</v>
      </c>
      <c r="V22" s="67">
        <v>0</v>
      </c>
      <c r="W22" s="394">
        <v>0</v>
      </c>
      <c r="X22" s="67">
        <v>0</v>
      </c>
      <c r="Y22" s="413">
        <v>0</v>
      </c>
      <c r="Z22" s="67">
        <v>0</v>
      </c>
      <c r="AA22" s="437">
        <v>0</v>
      </c>
      <c r="AB22" s="67">
        <v>2.8</v>
      </c>
      <c r="AC22" s="193">
        <v>2.79</v>
      </c>
      <c r="AD22" s="67">
        <v>0</v>
      </c>
      <c r="AE22" s="67">
        <v>0</v>
      </c>
      <c r="AF22" s="67">
        <v>0</v>
      </c>
      <c r="AG22" s="67">
        <v>0</v>
      </c>
      <c r="AH22" s="75"/>
      <c r="AI22" s="20"/>
    </row>
    <row r="23" spans="1:35" s="255" customFormat="1" ht="96" customHeight="1" x14ac:dyDescent="0.25">
      <c r="A23" s="556" t="s">
        <v>225</v>
      </c>
      <c r="B23" s="514" t="s">
        <v>226</v>
      </c>
      <c r="C23" s="224" t="s">
        <v>20</v>
      </c>
      <c r="D23" s="225">
        <f>D24</f>
        <v>262.50000000000006</v>
      </c>
      <c r="E23" s="418">
        <f>E24</f>
        <v>258.26800000000003</v>
      </c>
      <c r="F23" s="225">
        <f t="shared" si="10"/>
        <v>959.41000000000008</v>
      </c>
      <c r="G23" s="401">
        <f t="shared" si="10"/>
        <v>959.41000000000008</v>
      </c>
      <c r="H23" s="225">
        <f t="shared" si="5"/>
        <v>365.48952380952375</v>
      </c>
      <c r="I23" s="225">
        <f t="shared" si="6"/>
        <v>371.47846423095388</v>
      </c>
      <c r="J23" s="226">
        <f t="shared" ref="J23:AG23" si="12">J24</f>
        <v>0</v>
      </c>
      <c r="K23" s="226">
        <f t="shared" si="12"/>
        <v>0</v>
      </c>
      <c r="L23" s="226">
        <f t="shared" si="12"/>
        <v>8.3520000000000003</v>
      </c>
      <c r="M23" s="268">
        <f t="shared" si="12"/>
        <v>886.77800000000002</v>
      </c>
      <c r="N23" s="226">
        <f t="shared" si="12"/>
        <v>8.3520000000000003</v>
      </c>
      <c r="O23" s="83">
        <f t="shared" si="12"/>
        <v>8.3520000000000003</v>
      </c>
      <c r="P23" s="226">
        <f t="shared" si="12"/>
        <v>8.3520000000000003</v>
      </c>
      <c r="Q23" s="221">
        <f t="shared" si="12"/>
        <v>8.35</v>
      </c>
      <c r="R23" s="226">
        <f t="shared" si="12"/>
        <v>8.3520000000000003</v>
      </c>
      <c r="S23" s="331">
        <f t="shared" si="12"/>
        <v>8.3520000000000003</v>
      </c>
      <c r="T23" s="226">
        <f t="shared" si="12"/>
        <v>8.3520000000000003</v>
      </c>
      <c r="U23" s="226">
        <f t="shared" si="12"/>
        <v>8.35</v>
      </c>
      <c r="V23" s="226">
        <f t="shared" si="12"/>
        <v>8.3520000000000003</v>
      </c>
      <c r="W23" s="238">
        <f t="shared" si="12"/>
        <v>8.35</v>
      </c>
      <c r="X23" s="226">
        <f t="shared" si="12"/>
        <v>8.3520000000000003</v>
      </c>
      <c r="Y23" s="277">
        <f t="shared" si="12"/>
        <v>8.3520000000000003</v>
      </c>
      <c r="Z23" s="226">
        <f t="shared" si="12"/>
        <v>8.3520000000000003</v>
      </c>
      <c r="AA23" s="435">
        <f t="shared" si="12"/>
        <v>8.35</v>
      </c>
      <c r="AB23" s="226">
        <f t="shared" si="12"/>
        <v>191.452</v>
      </c>
      <c r="AC23" s="185">
        <f t="shared" si="12"/>
        <v>14.176</v>
      </c>
      <c r="AD23" s="226">
        <f t="shared" si="12"/>
        <v>4.2320000000000002</v>
      </c>
      <c r="AE23" s="226">
        <f t="shared" si="12"/>
        <v>0</v>
      </c>
      <c r="AF23" s="226">
        <f t="shared" si="12"/>
        <v>0</v>
      </c>
      <c r="AG23" s="226">
        <f t="shared" si="12"/>
        <v>0</v>
      </c>
      <c r="AH23" s="227" t="s">
        <v>430</v>
      </c>
      <c r="AI23" s="254"/>
    </row>
    <row r="24" spans="1:35" s="18" customFormat="1" ht="107.25" customHeight="1" x14ac:dyDescent="0.25">
      <c r="A24" s="558"/>
      <c r="B24" s="515"/>
      <c r="C24" s="73" t="s">
        <v>21</v>
      </c>
      <c r="D24" s="74">
        <f>SUM(J24,L24,N24,P24,R24,T24,V24,X24,Z24,AB24,AD24,AF24)</f>
        <v>262.50000000000006</v>
      </c>
      <c r="E24" s="420">
        <f>J24+L24+N24+P24+R24+T24+V24+X24+Z24+AB24</f>
        <v>258.26800000000003</v>
      </c>
      <c r="F24" s="74">
        <f>G24</f>
        <v>959.41000000000008</v>
      </c>
      <c r="G24" s="171">
        <f>SUM(K24,M24,O24,Q24,S24,U24,W24,Y24,AA24,AC24,AE24,AG24)</f>
        <v>959.41000000000008</v>
      </c>
      <c r="H24" s="74">
        <f t="shared" si="5"/>
        <v>365.48952380952375</v>
      </c>
      <c r="I24" s="74">
        <f t="shared" si="6"/>
        <v>371.47846423095388</v>
      </c>
      <c r="J24" s="67">
        <v>0</v>
      </c>
      <c r="K24" s="208">
        <v>0</v>
      </c>
      <c r="L24" s="67">
        <v>8.3520000000000003</v>
      </c>
      <c r="M24" s="270">
        <v>886.77800000000002</v>
      </c>
      <c r="N24" s="67">
        <v>8.3520000000000003</v>
      </c>
      <c r="O24" s="86">
        <v>8.3520000000000003</v>
      </c>
      <c r="P24" s="67">
        <v>8.3520000000000003</v>
      </c>
      <c r="Q24" s="338">
        <v>8.35</v>
      </c>
      <c r="R24" s="67">
        <v>8.3520000000000003</v>
      </c>
      <c r="S24" s="333">
        <v>8.3520000000000003</v>
      </c>
      <c r="T24" s="67">
        <v>8.3520000000000003</v>
      </c>
      <c r="U24" s="67">
        <v>8.35</v>
      </c>
      <c r="V24" s="67">
        <v>8.3520000000000003</v>
      </c>
      <c r="W24" s="394">
        <v>8.35</v>
      </c>
      <c r="X24" s="67">
        <v>8.3520000000000003</v>
      </c>
      <c r="Y24" s="413">
        <v>8.3520000000000003</v>
      </c>
      <c r="Z24" s="67">
        <v>8.3520000000000003</v>
      </c>
      <c r="AA24" s="437">
        <v>8.35</v>
      </c>
      <c r="AB24" s="67">
        <v>191.452</v>
      </c>
      <c r="AC24" s="193">
        <v>14.176</v>
      </c>
      <c r="AD24" s="67">
        <v>4.2320000000000002</v>
      </c>
      <c r="AE24" s="67">
        <v>0</v>
      </c>
      <c r="AF24" s="67">
        <v>0</v>
      </c>
      <c r="AG24" s="67">
        <v>0</v>
      </c>
      <c r="AH24" s="75" t="s">
        <v>431</v>
      </c>
      <c r="AI24" s="19"/>
    </row>
    <row r="25" spans="1:35" s="253" customFormat="1" ht="97.5" customHeight="1" x14ac:dyDescent="0.25">
      <c r="A25" s="556" t="s">
        <v>227</v>
      </c>
      <c r="B25" s="514" t="s">
        <v>228</v>
      </c>
      <c r="C25" s="249" t="s">
        <v>20</v>
      </c>
      <c r="D25" s="402">
        <f>D26</f>
        <v>539.18000000000006</v>
      </c>
      <c r="E25" s="418">
        <f t="shared" si="10"/>
        <v>539.18000000000006</v>
      </c>
      <c r="F25" s="250">
        <f t="shared" si="10"/>
        <v>520</v>
      </c>
      <c r="G25" s="402">
        <f t="shared" si="10"/>
        <v>520</v>
      </c>
      <c r="H25" s="250">
        <f t="shared" si="5"/>
        <v>96.442746392670344</v>
      </c>
      <c r="I25" s="250">
        <f t="shared" si="6"/>
        <v>96.442746392670344</v>
      </c>
      <c r="J25" s="251">
        <f t="shared" ref="J25:AG25" si="13">J26</f>
        <v>15</v>
      </c>
      <c r="K25" s="251">
        <f t="shared" si="13"/>
        <v>0</v>
      </c>
      <c r="L25" s="251">
        <f t="shared" si="13"/>
        <v>237.3</v>
      </c>
      <c r="M25" s="268">
        <f t="shared" si="13"/>
        <v>77</v>
      </c>
      <c r="N25" s="251">
        <f t="shared" si="13"/>
        <v>0</v>
      </c>
      <c r="O25" s="83">
        <f t="shared" si="13"/>
        <v>0</v>
      </c>
      <c r="P25" s="251">
        <f t="shared" si="13"/>
        <v>33.299999999999997</v>
      </c>
      <c r="Q25" s="221">
        <f t="shared" si="13"/>
        <v>113</v>
      </c>
      <c r="R25" s="251">
        <f t="shared" si="13"/>
        <v>229</v>
      </c>
      <c r="S25" s="331">
        <f t="shared" si="13"/>
        <v>165</v>
      </c>
      <c r="T25" s="251">
        <f t="shared" si="13"/>
        <v>0</v>
      </c>
      <c r="U25" s="251">
        <f t="shared" si="13"/>
        <v>165</v>
      </c>
      <c r="V25" s="251">
        <f t="shared" si="13"/>
        <v>0</v>
      </c>
      <c r="W25" s="238">
        <f t="shared" si="13"/>
        <v>0</v>
      </c>
      <c r="X25" s="251">
        <f t="shared" si="13"/>
        <v>0</v>
      </c>
      <c r="Y25" s="277">
        <f t="shared" si="13"/>
        <v>0</v>
      </c>
      <c r="Z25" s="251">
        <f t="shared" si="13"/>
        <v>24.58</v>
      </c>
      <c r="AA25" s="435">
        <f t="shared" si="13"/>
        <v>0</v>
      </c>
      <c r="AB25" s="251">
        <f t="shared" si="13"/>
        <v>0</v>
      </c>
      <c r="AC25" s="185">
        <f t="shared" si="13"/>
        <v>0</v>
      </c>
      <c r="AD25" s="251">
        <f t="shared" si="13"/>
        <v>0</v>
      </c>
      <c r="AE25" s="251">
        <f t="shared" si="13"/>
        <v>0</v>
      </c>
      <c r="AF25" s="251">
        <f t="shared" si="13"/>
        <v>0</v>
      </c>
      <c r="AG25" s="251">
        <f t="shared" si="13"/>
        <v>0</v>
      </c>
      <c r="AH25" s="492" t="s">
        <v>435</v>
      </c>
      <c r="AI25" s="252"/>
    </row>
    <row r="26" spans="1:35" s="18" customFormat="1" ht="58.5" customHeight="1" x14ac:dyDescent="0.25">
      <c r="A26" s="558"/>
      <c r="B26" s="515"/>
      <c r="C26" s="73" t="s">
        <v>21</v>
      </c>
      <c r="D26" s="74">
        <f>SUM(J26,L26,N26,P26,R26,T26,V26,X26,Z26,AB26,AD26,AF26)</f>
        <v>539.18000000000006</v>
      </c>
      <c r="E26" s="420">
        <f>J26+L26+N26+P26+R26+T26+V26+X26+Z26+AB26</f>
        <v>539.18000000000006</v>
      </c>
      <c r="F26" s="74">
        <f>G26</f>
        <v>520</v>
      </c>
      <c r="G26" s="171">
        <f>SUM(K26,M26,O26,Q26,S26,U26,W26,Y26,AA26,AC26,AE26,AG26)</f>
        <v>520</v>
      </c>
      <c r="H26" s="74">
        <f t="shared" si="5"/>
        <v>96.442746392670344</v>
      </c>
      <c r="I26" s="74">
        <f t="shared" si="6"/>
        <v>96.442746392670344</v>
      </c>
      <c r="J26" s="67">
        <v>15</v>
      </c>
      <c r="K26" s="208">
        <v>0</v>
      </c>
      <c r="L26" s="67">
        <v>237.3</v>
      </c>
      <c r="M26" s="270">
        <v>77</v>
      </c>
      <c r="N26" s="67">
        <v>0</v>
      </c>
      <c r="O26" s="86">
        <v>0</v>
      </c>
      <c r="P26" s="67">
        <v>33.299999999999997</v>
      </c>
      <c r="Q26" s="338">
        <v>113</v>
      </c>
      <c r="R26" s="67">
        <v>229</v>
      </c>
      <c r="S26" s="333">
        <v>165</v>
      </c>
      <c r="T26" s="67">
        <v>0</v>
      </c>
      <c r="U26" s="67">
        <v>165</v>
      </c>
      <c r="V26" s="67">
        <v>0</v>
      </c>
      <c r="W26" s="394">
        <v>0</v>
      </c>
      <c r="X26" s="67">
        <v>0</v>
      </c>
      <c r="Y26" s="413">
        <v>0</v>
      </c>
      <c r="Z26" s="67">
        <v>24.58</v>
      </c>
      <c r="AA26" s="437">
        <v>0</v>
      </c>
      <c r="AB26" s="67">
        <v>0</v>
      </c>
      <c r="AC26" s="193">
        <v>0</v>
      </c>
      <c r="AD26" s="67">
        <v>0</v>
      </c>
      <c r="AE26" s="67">
        <v>0</v>
      </c>
      <c r="AF26" s="67">
        <v>0</v>
      </c>
      <c r="AG26" s="67">
        <v>0</v>
      </c>
      <c r="AH26" s="493"/>
      <c r="AI26" s="19"/>
    </row>
    <row r="27" spans="1:35" s="22" customFormat="1" ht="18.75" customHeight="1" x14ac:dyDescent="0.25">
      <c r="A27" s="132" t="s">
        <v>153</v>
      </c>
      <c r="B27" s="596" t="s">
        <v>229</v>
      </c>
      <c r="C27" s="597"/>
      <c r="D27" s="597"/>
      <c r="E27" s="597"/>
      <c r="F27" s="597"/>
      <c r="G27" s="597"/>
      <c r="H27" s="597"/>
      <c r="I27" s="597"/>
      <c r="J27" s="597"/>
      <c r="K27" s="597"/>
      <c r="L27" s="597"/>
      <c r="M27" s="597"/>
      <c r="N27" s="597"/>
      <c r="O27" s="597"/>
      <c r="P27" s="597"/>
      <c r="Q27" s="597"/>
      <c r="R27" s="597"/>
      <c r="S27" s="597"/>
      <c r="T27" s="597"/>
      <c r="U27" s="597"/>
      <c r="V27" s="597"/>
      <c r="W27" s="597"/>
      <c r="X27" s="597"/>
      <c r="Y27" s="597"/>
      <c r="Z27" s="597"/>
      <c r="AA27" s="597"/>
      <c r="AB27" s="597"/>
      <c r="AC27" s="597"/>
      <c r="AD27" s="597"/>
      <c r="AE27" s="597"/>
      <c r="AF27" s="597"/>
      <c r="AG27" s="598"/>
      <c r="AH27" s="75"/>
    </row>
    <row r="28" spans="1:35" s="248" customFormat="1" ht="63.75" customHeight="1" x14ac:dyDescent="0.25">
      <c r="A28" s="556" t="s">
        <v>154</v>
      </c>
      <c r="B28" s="514" t="s">
        <v>230</v>
      </c>
      <c r="C28" s="243" t="s">
        <v>20</v>
      </c>
      <c r="D28" s="244">
        <f>D29</f>
        <v>150.39929999999998</v>
      </c>
      <c r="E28" s="418">
        <f t="shared" si="10"/>
        <v>150.39929999999998</v>
      </c>
      <c r="F28" s="244">
        <f>F29</f>
        <v>128.97</v>
      </c>
      <c r="G28" s="403">
        <f t="shared" si="10"/>
        <v>128.97</v>
      </c>
      <c r="H28" s="244">
        <f t="shared" ref="H28:H35" si="14">IFERROR(G28/D28*100,0)</f>
        <v>85.751728897674397</v>
      </c>
      <c r="I28" s="244">
        <f t="shared" ref="I28:I35" si="15">IFERROR(G28/E28*100,0)</f>
        <v>85.751728897674397</v>
      </c>
      <c r="J28" s="245">
        <f t="shared" ref="J28:AG28" si="16">J29</f>
        <v>21.484999999999999</v>
      </c>
      <c r="K28" s="245">
        <f t="shared" si="16"/>
        <v>0</v>
      </c>
      <c r="L28" s="245">
        <f t="shared" si="16"/>
        <v>128.91</v>
      </c>
      <c r="M28" s="268">
        <f t="shared" si="16"/>
        <v>128.97</v>
      </c>
      <c r="N28" s="245">
        <f t="shared" si="16"/>
        <v>0</v>
      </c>
      <c r="O28" s="83">
        <f t="shared" si="16"/>
        <v>0</v>
      </c>
      <c r="P28" s="245">
        <f t="shared" si="16"/>
        <v>4.3E-3</v>
      </c>
      <c r="Q28" s="221">
        <f t="shared" si="16"/>
        <v>0</v>
      </c>
      <c r="R28" s="245">
        <f t="shared" si="16"/>
        <v>0</v>
      </c>
      <c r="S28" s="331">
        <f t="shared" si="16"/>
        <v>0</v>
      </c>
      <c r="T28" s="245">
        <f t="shared" si="16"/>
        <v>0</v>
      </c>
      <c r="U28" s="245">
        <f t="shared" si="16"/>
        <v>0</v>
      </c>
      <c r="V28" s="245">
        <f t="shared" si="16"/>
        <v>0</v>
      </c>
      <c r="W28" s="238">
        <f t="shared" si="16"/>
        <v>0</v>
      </c>
      <c r="X28" s="245">
        <f t="shared" si="16"/>
        <v>0</v>
      </c>
      <c r="Y28" s="277">
        <f t="shared" si="16"/>
        <v>0</v>
      </c>
      <c r="Z28" s="245">
        <f t="shared" si="16"/>
        <v>0</v>
      </c>
      <c r="AA28" s="435">
        <f t="shared" si="16"/>
        <v>0</v>
      </c>
      <c r="AB28" s="245">
        <f t="shared" si="16"/>
        <v>0</v>
      </c>
      <c r="AC28" s="185">
        <f t="shared" si="16"/>
        <v>0</v>
      </c>
      <c r="AD28" s="245">
        <f t="shared" si="16"/>
        <v>0</v>
      </c>
      <c r="AE28" s="245">
        <f t="shared" si="16"/>
        <v>0</v>
      </c>
      <c r="AF28" s="245">
        <f t="shared" si="16"/>
        <v>0</v>
      </c>
      <c r="AG28" s="245">
        <f t="shared" si="16"/>
        <v>0</v>
      </c>
      <c r="AH28" s="246" t="s">
        <v>427</v>
      </c>
      <c r="AI28" s="247"/>
    </row>
    <row r="29" spans="1:35" s="18" customFormat="1" ht="61.5" customHeight="1" x14ac:dyDescent="0.25">
      <c r="A29" s="558"/>
      <c r="B29" s="515"/>
      <c r="C29" s="73" t="s">
        <v>21</v>
      </c>
      <c r="D29" s="74">
        <f>SUM(J29,L29,N29,P29,R29,T29,V29,X29,Z29,AB29,AD29,AF29)</f>
        <v>150.39929999999998</v>
      </c>
      <c r="E29" s="420">
        <f>J29+L29+N29+P29+R29+T29+V29+X29+Z29+AB29+AD29</f>
        <v>150.39929999999998</v>
      </c>
      <c r="F29" s="74">
        <f>G29</f>
        <v>128.97</v>
      </c>
      <c r="G29" s="171">
        <f>SUM(K29,M29,O29,Q29,S29,U29,W29,Y29,AA29,AC29,AE29,AG29)</f>
        <v>128.97</v>
      </c>
      <c r="H29" s="74">
        <f t="shared" si="14"/>
        <v>85.751728897674397</v>
      </c>
      <c r="I29" s="74">
        <f t="shared" si="15"/>
        <v>85.751728897674397</v>
      </c>
      <c r="J29" s="67">
        <v>21.484999999999999</v>
      </c>
      <c r="K29" s="208">
        <v>0</v>
      </c>
      <c r="L29" s="67">
        <v>128.91</v>
      </c>
      <c r="M29" s="270">
        <v>128.97</v>
      </c>
      <c r="N29" s="67">
        <v>0</v>
      </c>
      <c r="O29" s="86">
        <v>0</v>
      </c>
      <c r="P29" s="67">
        <v>4.3E-3</v>
      </c>
      <c r="Q29" s="338">
        <v>0</v>
      </c>
      <c r="R29" s="67">
        <v>0</v>
      </c>
      <c r="S29" s="333">
        <v>0</v>
      </c>
      <c r="T29" s="67">
        <v>0</v>
      </c>
      <c r="U29" s="67">
        <v>0</v>
      </c>
      <c r="V29" s="67">
        <v>0</v>
      </c>
      <c r="W29" s="394">
        <v>0</v>
      </c>
      <c r="X29" s="67">
        <v>0</v>
      </c>
      <c r="Y29" s="413">
        <v>0</v>
      </c>
      <c r="Z29" s="67">
        <v>0</v>
      </c>
      <c r="AA29" s="437">
        <v>0</v>
      </c>
      <c r="AB29" s="67">
        <v>0</v>
      </c>
      <c r="AC29" s="193">
        <v>0</v>
      </c>
      <c r="AD29" s="67">
        <v>0</v>
      </c>
      <c r="AE29" s="67">
        <v>0</v>
      </c>
      <c r="AF29" s="67">
        <v>0</v>
      </c>
      <c r="AG29" s="67">
        <v>0</v>
      </c>
      <c r="AH29" s="75"/>
      <c r="AI29" s="19"/>
    </row>
    <row r="30" spans="1:35" s="235" customFormat="1" ht="67.5" customHeight="1" x14ac:dyDescent="0.25">
      <c r="A30" s="556" t="s">
        <v>155</v>
      </c>
      <c r="B30" s="514" t="s">
        <v>231</v>
      </c>
      <c r="C30" s="230" t="s">
        <v>20</v>
      </c>
      <c r="D30" s="231">
        <f>D31</f>
        <v>83.6</v>
      </c>
      <c r="E30" s="418">
        <f t="shared" si="10"/>
        <v>69.11999999999999</v>
      </c>
      <c r="F30" s="231">
        <f t="shared" si="10"/>
        <v>63.36</v>
      </c>
      <c r="G30" s="404">
        <f t="shared" si="10"/>
        <v>63.36</v>
      </c>
      <c r="H30" s="231">
        <f t="shared" si="14"/>
        <v>75.789473684210535</v>
      </c>
      <c r="I30" s="231">
        <f t="shared" si="15"/>
        <v>91.666666666666671</v>
      </c>
      <c r="J30" s="232">
        <f t="shared" ref="J30:AG30" si="17">J31</f>
        <v>0</v>
      </c>
      <c r="K30" s="232">
        <f t="shared" si="17"/>
        <v>0</v>
      </c>
      <c r="L30" s="232">
        <f t="shared" si="17"/>
        <v>5.76</v>
      </c>
      <c r="M30" s="268">
        <f t="shared" si="17"/>
        <v>5.76</v>
      </c>
      <c r="N30" s="232">
        <f t="shared" si="17"/>
        <v>11.52</v>
      </c>
      <c r="O30" s="83">
        <f t="shared" si="17"/>
        <v>5.76</v>
      </c>
      <c r="P30" s="232">
        <f t="shared" si="17"/>
        <v>5.76</v>
      </c>
      <c r="Q30" s="221">
        <f t="shared" si="17"/>
        <v>5.76</v>
      </c>
      <c r="R30" s="232">
        <f t="shared" si="17"/>
        <v>5.76</v>
      </c>
      <c r="S30" s="331">
        <f t="shared" si="17"/>
        <v>11.52</v>
      </c>
      <c r="T30" s="232">
        <f t="shared" si="17"/>
        <v>5.76</v>
      </c>
      <c r="U30" s="232">
        <f t="shared" si="17"/>
        <v>5.76</v>
      </c>
      <c r="V30" s="232">
        <f t="shared" si="17"/>
        <v>11.52</v>
      </c>
      <c r="W30" s="238">
        <f t="shared" si="17"/>
        <v>5.76</v>
      </c>
      <c r="X30" s="232">
        <f t="shared" si="17"/>
        <v>5.76</v>
      </c>
      <c r="Y30" s="277">
        <f t="shared" si="17"/>
        <v>11.52</v>
      </c>
      <c r="Z30" s="232">
        <f t="shared" si="17"/>
        <v>5.76</v>
      </c>
      <c r="AA30" s="435">
        <f t="shared" si="17"/>
        <v>5.76</v>
      </c>
      <c r="AB30" s="232">
        <f t="shared" si="17"/>
        <v>11.52</v>
      </c>
      <c r="AC30" s="185">
        <f t="shared" si="17"/>
        <v>5.76</v>
      </c>
      <c r="AD30" s="232">
        <f t="shared" si="17"/>
        <v>5.76</v>
      </c>
      <c r="AE30" s="232">
        <f t="shared" si="17"/>
        <v>0</v>
      </c>
      <c r="AF30" s="232">
        <f t="shared" si="17"/>
        <v>8.7200000000000006</v>
      </c>
      <c r="AG30" s="232">
        <f t="shared" si="17"/>
        <v>0</v>
      </c>
      <c r="AH30" s="233" t="s">
        <v>429</v>
      </c>
      <c r="AI30" s="234"/>
    </row>
    <row r="31" spans="1:35" s="18" customFormat="1" ht="43.5" customHeight="1" x14ac:dyDescent="0.25">
      <c r="A31" s="558"/>
      <c r="B31" s="515"/>
      <c r="C31" s="73" t="s">
        <v>21</v>
      </c>
      <c r="D31" s="74">
        <f>SUM(J31,L31,N31,P31,R31,T31,V31,X31,Z31,AB31,AD31,AF31)</f>
        <v>83.6</v>
      </c>
      <c r="E31" s="420">
        <f>J31+L31+N31+P31+R31+T31+V31+X31+Z31+AB31</f>
        <v>69.11999999999999</v>
      </c>
      <c r="F31" s="74">
        <f>G31</f>
        <v>63.36</v>
      </c>
      <c r="G31" s="171">
        <f>SUM(K31,M31,O31,Q31,S31,U31,W31,Y31,AA31,AC31,AE31,AG31)</f>
        <v>63.36</v>
      </c>
      <c r="H31" s="74">
        <f t="shared" si="14"/>
        <v>75.789473684210535</v>
      </c>
      <c r="I31" s="74">
        <f t="shared" si="15"/>
        <v>91.666666666666671</v>
      </c>
      <c r="J31" s="67">
        <v>0</v>
      </c>
      <c r="K31" s="208">
        <v>0</v>
      </c>
      <c r="L31" s="67">
        <v>5.76</v>
      </c>
      <c r="M31" s="270">
        <v>5.76</v>
      </c>
      <c r="N31" s="67">
        <v>11.52</v>
      </c>
      <c r="O31" s="86">
        <v>5.76</v>
      </c>
      <c r="P31" s="67">
        <v>5.76</v>
      </c>
      <c r="Q31" s="338">
        <v>5.76</v>
      </c>
      <c r="R31" s="67">
        <v>5.76</v>
      </c>
      <c r="S31" s="333">
        <v>11.52</v>
      </c>
      <c r="T31" s="67">
        <v>5.76</v>
      </c>
      <c r="U31" s="67">
        <v>5.76</v>
      </c>
      <c r="V31" s="67">
        <v>11.52</v>
      </c>
      <c r="W31" s="394">
        <v>5.76</v>
      </c>
      <c r="X31" s="67">
        <v>5.76</v>
      </c>
      <c r="Y31" s="413">
        <v>11.52</v>
      </c>
      <c r="Z31" s="67">
        <v>5.76</v>
      </c>
      <c r="AA31" s="437">
        <v>5.76</v>
      </c>
      <c r="AB31" s="67">
        <v>11.52</v>
      </c>
      <c r="AC31" s="193">
        <v>5.76</v>
      </c>
      <c r="AD31" s="67">
        <v>5.76</v>
      </c>
      <c r="AE31" s="67">
        <v>0</v>
      </c>
      <c r="AF31" s="67">
        <v>8.7200000000000006</v>
      </c>
      <c r="AG31" s="67">
        <v>0</v>
      </c>
      <c r="AH31" s="75"/>
      <c r="AI31" s="19"/>
    </row>
    <row r="32" spans="1:35" s="259" customFormat="1" ht="63" customHeight="1" x14ac:dyDescent="0.25">
      <c r="A32" s="556" t="s">
        <v>232</v>
      </c>
      <c r="B32" s="514" t="s">
        <v>233</v>
      </c>
      <c r="C32" s="236" t="s">
        <v>20</v>
      </c>
      <c r="D32" s="405">
        <f>D33</f>
        <v>649.4</v>
      </c>
      <c r="E32" s="418">
        <f>E33</f>
        <v>500.88499999999999</v>
      </c>
      <c r="F32" s="237">
        <f t="shared" si="10"/>
        <v>494.73200000000003</v>
      </c>
      <c r="G32" s="405">
        <f t="shared" si="10"/>
        <v>494.73200000000003</v>
      </c>
      <c r="H32" s="237">
        <f t="shared" si="14"/>
        <v>76.18293809670466</v>
      </c>
      <c r="I32" s="237">
        <f t="shared" si="15"/>
        <v>98.771574313465166</v>
      </c>
      <c r="J32" s="238">
        <f t="shared" ref="J32:AG32" si="18">J33</f>
        <v>0</v>
      </c>
      <c r="K32" s="238">
        <f t="shared" si="18"/>
        <v>0</v>
      </c>
      <c r="L32" s="238">
        <f t="shared" si="18"/>
        <v>267.029</v>
      </c>
      <c r="M32" s="268">
        <f t="shared" si="18"/>
        <v>245.54400000000001</v>
      </c>
      <c r="N32" s="238">
        <f t="shared" si="18"/>
        <v>15.332000000000001</v>
      </c>
      <c r="O32" s="83">
        <f t="shared" si="18"/>
        <v>15.33</v>
      </c>
      <c r="P32" s="238">
        <f t="shared" si="18"/>
        <v>0</v>
      </c>
      <c r="Q32" s="221">
        <f t="shared" si="18"/>
        <v>15.33</v>
      </c>
      <c r="R32" s="238">
        <f t="shared" si="18"/>
        <v>109</v>
      </c>
      <c r="S32" s="331">
        <f t="shared" si="18"/>
        <v>109</v>
      </c>
      <c r="T32" s="238">
        <f t="shared" si="18"/>
        <v>8.4079999999999995</v>
      </c>
      <c r="U32" s="238">
        <f t="shared" si="18"/>
        <v>8.41</v>
      </c>
      <c r="V32" s="238">
        <f t="shared" si="18"/>
        <v>0</v>
      </c>
      <c r="W32" s="238">
        <f t="shared" si="18"/>
        <v>0</v>
      </c>
      <c r="X32" s="238">
        <f t="shared" si="18"/>
        <v>3.2</v>
      </c>
      <c r="Y32" s="277">
        <f t="shared" si="18"/>
        <v>3.2</v>
      </c>
      <c r="Z32" s="238">
        <f t="shared" si="18"/>
        <v>8.4079999999999995</v>
      </c>
      <c r="AA32" s="435">
        <f t="shared" si="18"/>
        <v>8.41</v>
      </c>
      <c r="AB32" s="238">
        <f t="shared" si="18"/>
        <v>89.507999999999996</v>
      </c>
      <c r="AC32" s="185">
        <f t="shared" si="18"/>
        <v>89.507999999999996</v>
      </c>
      <c r="AD32" s="238">
        <f t="shared" si="18"/>
        <v>0</v>
      </c>
      <c r="AE32" s="238">
        <f t="shared" si="18"/>
        <v>0</v>
      </c>
      <c r="AF32" s="238">
        <f t="shared" si="18"/>
        <v>148.51499999999999</v>
      </c>
      <c r="AG32" s="238">
        <f t="shared" si="18"/>
        <v>0</v>
      </c>
      <c r="AH32" s="239" t="s">
        <v>428</v>
      </c>
      <c r="AI32" s="258"/>
    </row>
    <row r="33" spans="1:35" s="22" customFormat="1" ht="48" customHeight="1" x14ac:dyDescent="0.25">
      <c r="A33" s="558"/>
      <c r="B33" s="515"/>
      <c r="C33" s="73" t="s">
        <v>21</v>
      </c>
      <c r="D33" s="74">
        <f>SUM(J33,L33,N33,P33,R33,T33,V33,X33,Z33,AB33,AD33,AF33)</f>
        <v>649.4</v>
      </c>
      <c r="E33" s="420">
        <f>J33+L33+N33+P33+R33+T33+V33+X33+Z33+AB33</f>
        <v>500.88499999999999</v>
      </c>
      <c r="F33" s="74">
        <f>G33</f>
        <v>494.73200000000003</v>
      </c>
      <c r="G33" s="171">
        <f>SUM(K33,M33,O33,Q33,S33,U33,W33,Y33,AA33,AC33,AE33,AG33)</f>
        <v>494.73200000000003</v>
      </c>
      <c r="H33" s="74">
        <f t="shared" si="14"/>
        <v>76.18293809670466</v>
      </c>
      <c r="I33" s="74">
        <f t="shared" si="15"/>
        <v>98.771574313465166</v>
      </c>
      <c r="J33" s="67">
        <v>0</v>
      </c>
      <c r="K33" s="208">
        <v>0</v>
      </c>
      <c r="L33" s="67">
        <v>267.029</v>
      </c>
      <c r="M33" s="270">
        <v>245.54400000000001</v>
      </c>
      <c r="N33" s="67">
        <v>15.332000000000001</v>
      </c>
      <c r="O33" s="86">
        <v>15.33</v>
      </c>
      <c r="P33" s="67">
        <v>0</v>
      </c>
      <c r="Q33" s="338">
        <v>15.33</v>
      </c>
      <c r="R33" s="67">
        <v>109</v>
      </c>
      <c r="S33" s="333">
        <v>109</v>
      </c>
      <c r="T33" s="67">
        <v>8.4079999999999995</v>
      </c>
      <c r="U33" s="67">
        <v>8.41</v>
      </c>
      <c r="V33" s="67">
        <v>0</v>
      </c>
      <c r="W33" s="394">
        <v>0</v>
      </c>
      <c r="X33" s="67">
        <v>3.2</v>
      </c>
      <c r="Y33" s="413">
        <v>3.2</v>
      </c>
      <c r="Z33" s="67">
        <v>8.4079999999999995</v>
      </c>
      <c r="AA33" s="437">
        <v>8.41</v>
      </c>
      <c r="AB33" s="67">
        <v>89.507999999999996</v>
      </c>
      <c r="AC33" s="193">
        <v>89.507999999999996</v>
      </c>
      <c r="AD33" s="67">
        <v>0</v>
      </c>
      <c r="AE33" s="67">
        <v>0</v>
      </c>
      <c r="AF33" s="67">
        <v>148.51499999999999</v>
      </c>
      <c r="AG33" s="67">
        <v>0</v>
      </c>
      <c r="AH33" s="75"/>
      <c r="AI33" s="20"/>
    </row>
    <row r="34" spans="1:35" s="248" customFormat="1" ht="202.5" customHeight="1" x14ac:dyDescent="0.25">
      <c r="A34" s="556" t="s">
        <v>234</v>
      </c>
      <c r="B34" s="514" t="s">
        <v>235</v>
      </c>
      <c r="C34" s="243" t="s">
        <v>20</v>
      </c>
      <c r="D34" s="244">
        <f>D35</f>
        <v>10302.698000000002</v>
      </c>
      <c r="E34" s="418">
        <f t="shared" si="10"/>
        <v>8571.8990000000013</v>
      </c>
      <c r="F34" s="244">
        <f t="shared" si="10"/>
        <v>7734.1319999999996</v>
      </c>
      <c r="G34" s="403">
        <f>G35</f>
        <v>7734.1319999999996</v>
      </c>
      <c r="H34" s="244">
        <f t="shared" si="14"/>
        <v>75.068996490045606</v>
      </c>
      <c r="I34" s="244">
        <f t="shared" si="15"/>
        <v>90.226588064091729</v>
      </c>
      <c r="J34" s="245">
        <f t="shared" ref="J34:AG34" si="19">J35</f>
        <v>1134.617</v>
      </c>
      <c r="K34" s="245">
        <f t="shared" si="19"/>
        <v>616.49099999999999</v>
      </c>
      <c r="L34" s="245">
        <f t="shared" si="19"/>
        <v>829.61199999999997</v>
      </c>
      <c r="M34" s="268">
        <f t="shared" si="19"/>
        <v>974.96900000000005</v>
      </c>
      <c r="N34" s="245">
        <f t="shared" si="19"/>
        <v>690.95899999999995</v>
      </c>
      <c r="O34" s="83">
        <f t="shared" si="19"/>
        <v>494.72199999999998</v>
      </c>
      <c r="P34" s="245">
        <f t="shared" si="19"/>
        <v>1174.3130000000001</v>
      </c>
      <c r="Q34" s="221">
        <f t="shared" si="19"/>
        <v>560.24199999999996</v>
      </c>
      <c r="R34" s="245">
        <f t="shared" si="19"/>
        <v>736.98199999999997</v>
      </c>
      <c r="S34" s="331">
        <f t="shared" si="19"/>
        <v>901.12</v>
      </c>
      <c r="T34" s="245">
        <f t="shared" si="19"/>
        <v>629.68200000000002</v>
      </c>
      <c r="U34" s="245">
        <f t="shared" si="19"/>
        <v>1198.73</v>
      </c>
      <c r="V34" s="245">
        <f t="shared" si="19"/>
        <v>1156.29</v>
      </c>
      <c r="W34" s="238">
        <f t="shared" si="19"/>
        <v>768.42100000000005</v>
      </c>
      <c r="X34" s="245">
        <f t="shared" si="19"/>
        <v>819.029</v>
      </c>
      <c r="Y34" s="277">
        <f t="shared" si="19"/>
        <v>509.95299999999997</v>
      </c>
      <c r="Z34" s="245">
        <f t="shared" si="19"/>
        <v>665.33199999999999</v>
      </c>
      <c r="AA34" s="435">
        <f t="shared" si="19"/>
        <v>641.6</v>
      </c>
      <c r="AB34" s="245">
        <f t="shared" si="19"/>
        <v>735.08299999999997</v>
      </c>
      <c r="AC34" s="185">
        <f t="shared" si="19"/>
        <v>1067.884</v>
      </c>
      <c r="AD34" s="245">
        <f t="shared" si="19"/>
        <v>629.68200000000002</v>
      </c>
      <c r="AE34" s="245">
        <f t="shared" si="19"/>
        <v>0</v>
      </c>
      <c r="AF34" s="245">
        <f t="shared" si="19"/>
        <v>1101.117</v>
      </c>
      <c r="AG34" s="245">
        <f t="shared" si="19"/>
        <v>0</v>
      </c>
      <c r="AH34" s="359" t="s">
        <v>361</v>
      </c>
      <c r="AI34" s="247"/>
    </row>
    <row r="35" spans="1:35" s="18" customFormat="1" ht="119.25" customHeight="1" x14ac:dyDescent="0.25">
      <c r="A35" s="558"/>
      <c r="B35" s="515"/>
      <c r="C35" s="73" t="s">
        <v>22</v>
      </c>
      <c r="D35" s="74">
        <f>SUM(J35,L35,N35,P35,R35,T35,V35,X35,Z35,AB35,AD35,AF35)</f>
        <v>10302.698000000002</v>
      </c>
      <c r="E35" s="420">
        <f>J35+L35+N35+P35+R35+T35+V35+X35+Z35+AB35</f>
        <v>8571.8990000000013</v>
      </c>
      <c r="F35" s="74">
        <f>G35</f>
        <v>7734.1319999999996</v>
      </c>
      <c r="G35" s="171">
        <f>SUM(K35,M35,O35,Q35,S35,U35,W35,Y35,AA35,AC35,AE35,AG35)</f>
        <v>7734.1319999999996</v>
      </c>
      <c r="H35" s="74">
        <f t="shared" si="14"/>
        <v>75.068996490045606</v>
      </c>
      <c r="I35" s="74">
        <f t="shared" si="15"/>
        <v>90.226588064091729</v>
      </c>
      <c r="J35" s="67">
        <v>1134.617</v>
      </c>
      <c r="K35" s="208">
        <v>616.49099999999999</v>
      </c>
      <c r="L35" s="67">
        <v>829.61199999999997</v>
      </c>
      <c r="M35" s="270">
        <v>974.96900000000005</v>
      </c>
      <c r="N35" s="67">
        <v>690.95899999999995</v>
      </c>
      <c r="O35" s="86">
        <v>494.72199999999998</v>
      </c>
      <c r="P35" s="67">
        <v>1174.3130000000001</v>
      </c>
      <c r="Q35" s="338">
        <v>560.24199999999996</v>
      </c>
      <c r="R35" s="67">
        <v>736.98199999999997</v>
      </c>
      <c r="S35" s="333">
        <v>901.12</v>
      </c>
      <c r="T35" s="67">
        <v>629.68200000000002</v>
      </c>
      <c r="U35" s="67">
        <v>1198.73</v>
      </c>
      <c r="V35" s="67">
        <v>1156.29</v>
      </c>
      <c r="W35" s="394">
        <v>768.42100000000005</v>
      </c>
      <c r="X35" s="67">
        <v>819.029</v>
      </c>
      <c r="Y35" s="413">
        <v>509.95299999999997</v>
      </c>
      <c r="Z35" s="67">
        <v>665.33199999999999</v>
      </c>
      <c r="AA35" s="437">
        <v>641.6</v>
      </c>
      <c r="AB35" s="67">
        <v>735.08299999999997</v>
      </c>
      <c r="AC35" s="193">
        <v>1067.884</v>
      </c>
      <c r="AD35" s="67">
        <v>629.68200000000002</v>
      </c>
      <c r="AE35" s="67">
        <v>0</v>
      </c>
      <c r="AF35" s="67">
        <v>1101.117</v>
      </c>
      <c r="AG35" s="67">
        <v>0</v>
      </c>
      <c r="AH35" s="75"/>
      <c r="AI35" s="19"/>
    </row>
    <row r="36" spans="1:35" s="22" customFormat="1" ht="18.75" customHeight="1" x14ac:dyDescent="0.25">
      <c r="A36" s="132" t="s">
        <v>156</v>
      </c>
      <c r="B36" s="596" t="s">
        <v>32</v>
      </c>
      <c r="C36" s="597"/>
      <c r="D36" s="597"/>
      <c r="E36" s="597"/>
      <c r="F36" s="597"/>
      <c r="G36" s="597"/>
      <c r="H36" s="597"/>
      <c r="I36" s="597"/>
      <c r="J36" s="597"/>
      <c r="K36" s="597"/>
      <c r="L36" s="597"/>
      <c r="M36" s="597"/>
      <c r="N36" s="597"/>
      <c r="O36" s="597"/>
      <c r="P36" s="597"/>
      <c r="Q36" s="597"/>
      <c r="R36" s="597"/>
      <c r="S36" s="597"/>
      <c r="T36" s="597"/>
      <c r="U36" s="597"/>
      <c r="V36" s="597"/>
      <c r="W36" s="597"/>
      <c r="X36" s="597"/>
      <c r="Y36" s="597"/>
      <c r="Z36" s="597"/>
      <c r="AA36" s="597"/>
      <c r="AB36" s="597"/>
      <c r="AC36" s="597"/>
      <c r="AD36" s="597"/>
      <c r="AE36" s="597"/>
      <c r="AF36" s="597"/>
      <c r="AG36" s="598"/>
      <c r="AH36" s="75"/>
    </row>
    <row r="37" spans="1:35" s="257" customFormat="1" ht="82.5" customHeight="1" x14ac:dyDescent="0.25">
      <c r="A37" s="556" t="s">
        <v>157</v>
      </c>
      <c r="B37" s="514" t="s">
        <v>236</v>
      </c>
      <c r="C37" s="240" t="s">
        <v>20</v>
      </c>
      <c r="D37" s="241">
        <f>D38</f>
        <v>6320.1999999999989</v>
      </c>
      <c r="E37" s="418">
        <f t="shared" si="10"/>
        <v>5436.0149999999994</v>
      </c>
      <c r="F37" s="241">
        <f t="shared" si="10"/>
        <v>5024.3620000000001</v>
      </c>
      <c r="G37" s="406">
        <f t="shared" si="10"/>
        <v>5024.3620000000001</v>
      </c>
      <c r="H37" s="241">
        <f>IFERROR(G37/D37*100,0)</f>
        <v>79.49688301003134</v>
      </c>
      <c r="I37" s="241">
        <f>IFERROR(G37/E37*100,0)</f>
        <v>92.427301985001904</v>
      </c>
      <c r="J37" s="242">
        <f t="shared" ref="J37:AG37" si="20">J38</f>
        <v>910.76800000000003</v>
      </c>
      <c r="K37" s="242">
        <f t="shared" si="20"/>
        <v>497.447</v>
      </c>
      <c r="L37" s="242">
        <f t="shared" si="20"/>
        <v>544.96299999999997</v>
      </c>
      <c r="M37" s="268">
        <f t="shared" si="20"/>
        <v>676.79100000000005</v>
      </c>
      <c r="N37" s="242">
        <f t="shared" si="20"/>
        <v>375.82799999999997</v>
      </c>
      <c r="O37" s="83">
        <f t="shared" si="20"/>
        <v>393.79399999999998</v>
      </c>
      <c r="P37" s="242">
        <f t="shared" si="20"/>
        <v>646.00599999999997</v>
      </c>
      <c r="Q37" s="221">
        <f t="shared" si="20"/>
        <v>436.30599999999998</v>
      </c>
      <c r="R37" s="242">
        <f t="shared" si="20"/>
        <v>495.11399999999998</v>
      </c>
      <c r="S37" s="331">
        <f t="shared" si="20"/>
        <v>0</v>
      </c>
      <c r="T37" s="242">
        <f t="shared" si="20"/>
        <v>375.82799999999997</v>
      </c>
      <c r="U37" s="242">
        <f t="shared" si="20"/>
        <v>699.49</v>
      </c>
      <c r="V37" s="242">
        <f t="shared" si="20"/>
        <v>646.00599999999997</v>
      </c>
      <c r="W37" s="238">
        <f t="shared" si="20"/>
        <v>652.30100000000004</v>
      </c>
      <c r="X37" s="242">
        <f t="shared" si="20"/>
        <v>603.20299999999997</v>
      </c>
      <c r="Y37" s="277">
        <f t="shared" si="20"/>
        <v>403.93400000000003</v>
      </c>
      <c r="Z37" s="242">
        <f t="shared" si="20"/>
        <v>408.471</v>
      </c>
      <c r="AA37" s="435">
        <f t="shared" si="20"/>
        <v>667.55</v>
      </c>
      <c r="AB37" s="242">
        <f t="shared" si="20"/>
        <v>429.82799999999997</v>
      </c>
      <c r="AC37" s="185">
        <f t="shared" si="20"/>
        <v>596.74900000000002</v>
      </c>
      <c r="AD37" s="242">
        <f t="shared" si="20"/>
        <v>429.82799999999997</v>
      </c>
      <c r="AE37" s="242">
        <f t="shared" si="20"/>
        <v>0</v>
      </c>
      <c r="AF37" s="242">
        <f t="shared" si="20"/>
        <v>454.35700000000003</v>
      </c>
      <c r="AG37" s="242">
        <f t="shared" si="20"/>
        <v>0</v>
      </c>
      <c r="AH37" s="360" t="s">
        <v>426</v>
      </c>
      <c r="AI37" s="256"/>
    </row>
    <row r="38" spans="1:35" s="22" customFormat="1" ht="63.75" customHeight="1" x14ac:dyDescent="0.25">
      <c r="A38" s="558"/>
      <c r="B38" s="515"/>
      <c r="C38" s="73" t="s">
        <v>21</v>
      </c>
      <c r="D38" s="74">
        <f>SUM(J38,L38,N38,P38,R38,T38,V38,X38,Z38,AB38,AD38,AF38)</f>
        <v>6320.1999999999989</v>
      </c>
      <c r="E38" s="420">
        <f>J38+L38+N38+P38+R38+T38+V38+X38+Z38+AB38</f>
        <v>5436.0149999999994</v>
      </c>
      <c r="F38" s="74">
        <f>G38</f>
        <v>5024.3620000000001</v>
      </c>
      <c r="G38" s="171">
        <f>SUM(K38,M38,O38,Q38,S38,U38,W38,Y38,AA38,AC38,AE38,AG38)</f>
        <v>5024.3620000000001</v>
      </c>
      <c r="H38" s="74">
        <f>IFERROR(G38/D38*100,0)</f>
        <v>79.49688301003134</v>
      </c>
      <c r="I38" s="74">
        <f>IFERROR(G38/E38*100,0)</f>
        <v>92.427301985001904</v>
      </c>
      <c r="J38" s="67">
        <v>910.76800000000003</v>
      </c>
      <c r="K38" s="208">
        <v>497.447</v>
      </c>
      <c r="L38" s="67">
        <v>544.96299999999997</v>
      </c>
      <c r="M38" s="270">
        <v>676.79100000000005</v>
      </c>
      <c r="N38" s="67">
        <v>375.82799999999997</v>
      </c>
      <c r="O38" s="86">
        <v>393.79399999999998</v>
      </c>
      <c r="P38" s="67">
        <v>646.00599999999997</v>
      </c>
      <c r="Q38" s="338">
        <v>436.30599999999998</v>
      </c>
      <c r="R38" s="67">
        <v>495.11399999999998</v>
      </c>
      <c r="S38" s="333">
        <v>0</v>
      </c>
      <c r="T38" s="67">
        <v>375.82799999999997</v>
      </c>
      <c r="U38" s="67">
        <v>699.49</v>
      </c>
      <c r="V38" s="67">
        <v>646.00599999999997</v>
      </c>
      <c r="W38" s="394">
        <v>652.30100000000004</v>
      </c>
      <c r="X38" s="67">
        <v>603.20299999999997</v>
      </c>
      <c r="Y38" s="413">
        <v>403.93400000000003</v>
      </c>
      <c r="Z38" s="67">
        <v>408.471</v>
      </c>
      <c r="AA38" s="437">
        <v>667.55</v>
      </c>
      <c r="AB38" s="67">
        <v>429.82799999999997</v>
      </c>
      <c r="AC38" s="193">
        <v>596.74900000000002</v>
      </c>
      <c r="AD38" s="67">
        <v>429.82799999999997</v>
      </c>
      <c r="AE38" s="67">
        <v>0</v>
      </c>
      <c r="AF38" s="67">
        <v>454.35700000000003</v>
      </c>
      <c r="AG38" s="67">
        <v>0</v>
      </c>
      <c r="AH38" s="75"/>
      <c r="AI38" s="20"/>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3"/>
    </customSheetView>
    <customSheetView guid="{B686A221-D885-4536-BEAC-E7F4BBC02150}" scale="80">
      <pane xSplit="6" ySplit="7" topLeftCell="G8" activePane="bottomRight" state="frozen"/>
      <selection pane="bottomRight" activeCell="I9" sqref="I9"/>
      <pageMargins left="0.7" right="0.7" top="0.75" bottom="0.75" header="0.3" footer="0.3"/>
      <pageSetup paperSize="9" orientation="portrait" r:id="rId4"/>
    </customSheetView>
    <customSheetView guid="{EA46B61D-849C-4795-A4FF-F8F1740022EB}" scale="80">
      <pane xSplit="6" ySplit="7" topLeftCell="N35" activePane="bottomRight" state="frozen"/>
      <selection pane="bottomRight" activeCell="M14" sqref="M14"/>
      <pageMargins left="0.7" right="0.7" top="0.75" bottom="0.75" header="0.3" footer="0.3"/>
      <pageSetup paperSize="9" orientation="portrait" r:id="rId5"/>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6"/>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7"/>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8"/>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9"/>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10"/>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11"/>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6"/>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1"/>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24"/>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25"/>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6"/>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27"/>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28"/>
    </customSheetView>
  </customSheetViews>
  <mergeCells count="50">
    <mergeCell ref="B36:AG36"/>
    <mergeCell ref="A37:A38"/>
    <mergeCell ref="B37:B38"/>
    <mergeCell ref="A30:A31"/>
    <mergeCell ref="B30:B31"/>
    <mergeCell ref="A32:A33"/>
    <mergeCell ref="B32:B33"/>
    <mergeCell ref="A34:A35"/>
    <mergeCell ref="B34:B35"/>
    <mergeCell ref="A28:A29"/>
    <mergeCell ref="B28:B29"/>
    <mergeCell ref="A16:A17"/>
    <mergeCell ref="B16:B17"/>
    <mergeCell ref="A18:A20"/>
    <mergeCell ref="B18:B20"/>
    <mergeCell ref="A21:A22"/>
    <mergeCell ref="B21:B22"/>
    <mergeCell ref="A23:A24"/>
    <mergeCell ref="B23:B24"/>
    <mergeCell ref="A25:A26"/>
    <mergeCell ref="B25:B26"/>
    <mergeCell ref="B27:AG27"/>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66" t="s">
        <v>24</v>
      </c>
      <c r="D2" s="566"/>
      <c r="E2" s="566"/>
      <c r="F2" s="566"/>
      <c r="G2" s="566"/>
      <c r="H2" s="566"/>
      <c r="I2" s="566"/>
      <c r="J2" s="566"/>
      <c r="K2" s="566"/>
      <c r="L2" s="566"/>
      <c r="M2" s="566"/>
      <c r="N2" s="566"/>
      <c r="O2" s="566"/>
      <c r="P2" s="566"/>
      <c r="Q2" s="566"/>
      <c r="R2" s="566"/>
      <c r="S2" s="566"/>
      <c r="T2" s="93"/>
      <c r="U2" s="93"/>
      <c r="V2" s="93"/>
      <c r="W2" s="93"/>
      <c r="X2" s="93"/>
      <c r="Y2" s="93"/>
      <c r="Z2" s="93"/>
      <c r="AA2" s="93"/>
      <c r="AB2" s="93"/>
      <c r="AC2" s="93"/>
      <c r="AD2" s="93"/>
      <c r="AE2" s="93"/>
      <c r="AF2" s="93"/>
      <c r="AG2" s="93"/>
      <c r="AH2" s="93"/>
    </row>
    <row r="3" spans="1:35" ht="36.75" customHeight="1" x14ac:dyDescent="0.25">
      <c r="A3" s="92"/>
      <c r="B3" s="92"/>
      <c r="C3" s="567" t="s">
        <v>180</v>
      </c>
      <c r="D3" s="567"/>
      <c r="E3" s="567"/>
      <c r="F3" s="567"/>
      <c r="G3" s="567"/>
      <c r="H3" s="567"/>
      <c r="I3" s="567"/>
      <c r="J3" s="567"/>
      <c r="K3" s="567"/>
      <c r="L3" s="567"/>
      <c r="M3" s="567"/>
      <c r="N3" s="567"/>
      <c r="O3" s="567"/>
      <c r="P3" s="567"/>
      <c r="Q3" s="567"/>
      <c r="R3" s="567"/>
      <c r="S3" s="567"/>
      <c r="T3" s="94"/>
      <c r="U3" s="94"/>
      <c r="V3" s="94"/>
      <c r="W3" s="94"/>
      <c r="X3" s="94"/>
      <c r="Y3" s="94"/>
      <c r="Z3" s="94"/>
      <c r="AA3" s="94"/>
      <c r="AB3" s="94"/>
      <c r="AC3" s="94"/>
      <c r="AD3" s="95"/>
      <c r="AE3" s="95"/>
      <c r="AF3" s="95"/>
      <c r="AG3" s="37" t="s">
        <v>0</v>
      </c>
      <c r="AH3" s="95"/>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3" t="s">
        <v>23</v>
      </c>
      <c r="C8" s="57" t="s">
        <v>20</v>
      </c>
      <c r="D8" s="58">
        <f>D9</f>
        <v>55351.937000000005</v>
      </c>
      <c r="E8" s="58">
        <f>E9</f>
        <v>44950.273000000001</v>
      </c>
      <c r="F8" s="58">
        <f>F9</f>
        <v>39917.735999999997</v>
      </c>
      <c r="G8" s="58">
        <f>G9</f>
        <v>39917.735999999997</v>
      </c>
      <c r="H8" s="58">
        <f>IFERROR(G8/D8*100,0)</f>
        <v>72.116240484953565</v>
      </c>
      <c r="I8" s="58">
        <f>IFERROR(G8/E8*100,0)</f>
        <v>88.804212601778858</v>
      </c>
      <c r="J8" s="59">
        <f>J9</f>
        <v>4597.8220000000001</v>
      </c>
      <c r="K8" s="59">
        <f t="shared" ref="K8:AG8" si="0">K9</f>
        <v>2107.8139999999999</v>
      </c>
      <c r="L8" s="59">
        <f t="shared" si="0"/>
        <v>4172.6900000000005</v>
      </c>
      <c r="M8" s="59">
        <f t="shared" si="0"/>
        <v>4669.1530000000002</v>
      </c>
      <c r="N8" s="59">
        <f t="shared" si="0"/>
        <v>4202.8069999999998</v>
      </c>
      <c r="O8" s="59">
        <f t="shared" si="0"/>
        <v>3811.7909999999997</v>
      </c>
      <c r="P8" s="59">
        <f t="shared" si="0"/>
        <v>4791.9809999999998</v>
      </c>
      <c r="Q8" s="59">
        <f t="shared" si="0"/>
        <v>4160.6610000000001</v>
      </c>
      <c r="R8" s="59">
        <f t="shared" si="0"/>
        <v>4433.0919999999996</v>
      </c>
      <c r="S8" s="59">
        <f t="shared" si="0"/>
        <v>3984.8090000000002</v>
      </c>
      <c r="T8" s="59">
        <f t="shared" si="0"/>
        <v>4710.558</v>
      </c>
      <c r="U8" s="59">
        <f t="shared" si="0"/>
        <v>4675.7870000000003</v>
      </c>
      <c r="V8" s="59">
        <f t="shared" si="0"/>
        <v>4896.2469999999994</v>
      </c>
      <c r="W8" s="59">
        <f t="shared" si="0"/>
        <v>4548.5190000000002</v>
      </c>
      <c r="X8" s="59">
        <f t="shared" si="0"/>
        <v>4987.8729999999996</v>
      </c>
      <c r="Y8" s="59">
        <f t="shared" si="0"/>
        <v>4180.4799999999996</v>
      </c>
      <c r="Z8" s="59">
        <f t="shared" si="0"/>
        <v>3967.567</v>
      </c>
      <c r="AA8" s="59">
        <f t="shared" si="0"/>
        <v>4123.3979999999992</v>
      </c>
      <c r="AB8" s="59">
        <f t="shared" si="0"/>
        <v>4189.6360000000004</v>
      </c>
      <c r="AC8" s="59">
        <f t="shared" si="0"/>
        <v>3655.3239999999996</v>
      </c>
      <c r="AD8" s="59">
        <f t="shared" si="0"/>
        <v>3935.72</v>
      </c>
      <c r="AE8" s="59">
        <f t="shared" si="0"/>
        <v>0</v>
      </c>
      <c r="AF8" s="59">
        <f t="shared" si="0"/>
        <v>6465.9440000000004</v>
      </c>
      <c r="AG8" s="59">
        <f t="shared" si="0"/>
        <v>0</v>
      </c>
      <c r="AH8" s="60"/>
      <c r="AI8" s="23">
        <f>E8-G8</f>
        <v>5032.5370000000039</v>
      </c>
    </row>
    <row r="9" spans="1:35" s="22" customFormat="1" ht="38.25" customHeight="1" x14ac:dyDescent="0.25">
      <c r="A9" s="582"/>
      <c r="B9" s="554"/>
      <c r="C9" s="61" t="s">
        <v>21</v>
      </c>
      <c r="D9" s="286">
        <f>SUM(J9,L9,N9,P9,R9,T9,V9,X9,Z9,AB9,AD9,AF9)</f>
        <v>55351.937000000005</v>
      </c>
      <c r="E9" s="286">
        <f>J9+L9+N9+P9+R9+T9+V9+X9+Z9+AB9</f>
        <v>44950.273000000001</v>
      </c>
      <c r="F9" s="286">
        <f>K9+M9+O9+Q9+S9+U9+W9+Y9+AA9+AC9</f>
        <v>39917.735999999997</v>
      </c>
      <c r="G9" s="62">
        <f>K9+M9+O9+Q9+S9+W9+U9+Y9+AA9+AC9++AE9+AG9</f>
        <v>39917.735999999997</v>
      </c>
      <c r="H9" s="62">
        <f>IFERROR(G9/D9*100,0)</f>
        <v>72.116240484953565</v>
      </c>
      <c r="I9" s="62">
        <f>IFERROR(G9/E9*100,0)</f>
        <v>88.804212601778858</v>
      </c>
      <c r="J9" s="62">
        <f t="shared" ref="J9:AG9" si="1">J12+J25+J27</f>
        <v>4597.8220000000001</v>
      </c>
      <c r="K9" s="62">
        <f>K12+K25+K27</f>
        <v>2107.8139999999999</v>
      </c>
      <c r="L9" s="62">
        <f t="shared" si="1"/>
        <v>4172.6900000000005</v>
      </c>
      <c r="M9" s="62">
        <f t="shared" si="1"/>
        <v>4669.1530000000002</v>
      </c>
      <c r="N9" s="62">
        <f t="shared" si="1"/>
        <v>4202.8069999999998</v>
      </c>
      <c r="O9" s="62">
        <f t="shared" si="1"/>
        <v>3811.7909999999997</v>
      </c>
      <c r="P9" s="62">
        <f t="shared" si="1"/>
        <v>4791.9809999999998</v>
      </c>
      <c r="Q9" s="62">
        <f t="shared" si="1"/>
        <v>4160.6610000000001</v>
      </c>
      <c r="R9" s="62">
        <f t="shared" si="1"/>
        <v>4433.0919999999996</v>
      </c>
      <c r="S9" s="62">
        <f t="shared" si="1"/>
        <v>3984.8090000000002</v>
      </c>
      <c r="T9" s="62">
        <f t="shared" si="1"/>
        <v>4710.558</v>
      </c>
      <c r="U9" s="62">
        <f t="shared" si="1"/>
        <v>4675.7870000000003</v>
      </c>
      <c r="V9" s="62">
        <f t="shared" si="1"/>
        <v>4896.2469999999994</v>
      </c>
      <c r="W9" s="62">
        <f t="shared" si="1"/>
        <v>4548.5190000000002</v>
      </c>
      <c r="X9" s="62">
        <f t="shared" si="1"/>
        <v>4987.8729999999996</v>
      </c>
      <c r="Y9" s="62">
        <f t="shared" si="1"/>
        <v>4180.4799999999996</v>
      </c>
      <c r="Z9" s="62">
        <f t="shared" si="1"/>
        <v>3967.567</v>
      </c>
      <c r="AA9" s="62">
        <f t="shared" si="1"/>
        <v>4123.3979999999992</v>
      </c>
      <c r="AB9" s="62">
        <f t="shared" si="1"/>
        <v>4189.6360000000004</v>
      </c>
      <c r="AC9" s="62">
        <f t="shared" si="1"/>
        <v>3655.3239999999996</v>
      </c>
      <c r="AD9" s="62">
        <f t="shared" si="1"/>
        <v>3935.72</v>
      </c>
      <c r="AE9" s="62">
        <f t="shared" si="1"/>
        <v>0</v>
      </c>
      <c r="AF9" s="62">
        <f t="shared" si="1"/>
        <v>6465.9440000000004</v>
      </c>
      <c r="AG9" s="62">
        <f t="shared" si="1"/>
        <v>0</v>
      </c>
      <c r="AH9" s="64"/>
      <c r="AI9" s="23">
        <f>E9-G9</f>
        <v>5032.5370000000039</v>
      </c>
    </row>
    <row r="10" spans="1:35" s="26" customFormat="1" ht="18.75" customHeight="1" x14ac:dyDescent="0.25">
      <c r="A10" s="132" t="s">
        <v>151</v>
      </c>
      <c r="B10" s="596" t="s">
        <v>181</v>
      </c>
      <c r="C10" s="597"/>
      <c r="D10" s="597"/>
      <c r="E10" s="597"/>
      <c r="F10" s="597"/>
      <c r="G10" s="597"/>
      <c r="H10" s="597"/>
      <c r="I10" s="597"/>
      <c r="J10" s="597"/>
      <c r="K10" s="597"/>
      <c r="L10" s="597"/>
      <c r="M10" s="597"/>
      <c r="N10" s="597"/>
      <c r="O10" s="597"/>
      <c r="P10" s="597"/>
      <c r="Q10" s="597"/>
      <c r="R10" s="597"/>
      <c r="S10" s="597"/>
      <c r="T10" s="597"/>
      <c r="U10" s="597"/>
      <c r="V10" s="597"/>
      <c r="W10" s="597"/>
      <c r="X10" s="597"/>
      <c r="Y10" s="597"/>
      <c r="Z10" s="597"/>
      <c r="AA10" s="597"/>
      <c r="AB10" s="597"/>
      <c r="AC10" s="597"/>
      <c r="AD10" s="597"/>
      <c r="AE10" s="597"/>
      <c r="AF10" s="597"/>
      <c r="AG10" s="598"/>
      <c r="AH10" s="75"/>
      <c r="AI10" s="260"/>
    </row>
    <row r="11" spans="1:35" s="21" customFormat="1" ht="88.5" customHeight="1" x14ac:dyDescent="0.25">
      <c r="A11" s="581" t="s">
        <v>152</v>
      </c>
      <c r="B11" s="553" t="s">
        <v>182</v>
      </c>
      <c r="C11" s="57" t="s">
        <v>20</v>
      </c>
      <c r="D11" s="58">
        <f>D12</f>
        <v>6869.4490000000005</v>
      </c>
      <c r="E11" s="58">
        <f>E12</f>
        <v>3924.3220000000001</v>
      </c>
      <c r="F11" s="58">
        <f>F12</f>
        <v>3756.1369999999997</v>
      </c>
      <c r="G11" s="58">
        <f>G12</f>
        <v>3756.1369999999997</v>
      </c>
      <c r="H11" s="58">
        <f t="shared" ref="H11:H24" si="2">IFERROR(G11/D11*100,0)</f>
        <v>54.678868712759922</v>
      </c>
      <c r="I11" s="58">
        <f t="shared" ref="I11:I24" si="3">IFERROR(G11/E11*100,0)</f>
        <v>95.714291538767711</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336.41500000000002</v>
      </c>
      <c r="V11" s="59">
        <f t="shared" si="4"/>
        <v>618.36400000000003</v>
      </c>
      <c r="W11" s="59">
        <f t="shared" si="4"/>
        <v>537.96399999999994</v>
      </c>
      <c r="X11" s="59">
        <f t="shared" si="4"/>
        <v>968.46399999999994</v>
      </c>
      <c r="Y11" s="59">
        <f t="shared" si="4"/>
        <v>828.15600000000006</v>
      </c>
      <c r="Z11" s="59">
        <f t="shared" si="4"/>
        <v>446.964</v>
      </c>
      <c r="AA11" s="59">
        <f t="shared" si="4"/>
        <v>579.15499999999997</v>
      </c>
      <c r="AB11" s="59">
        <f t="shared" si="4"/>
        <v>341.62400000000002</v>
      </c>
      <c r="AC11" s="59">
        <f t="shared" si="4"/>
        <v>334.83499999999998</v>
      </c>
      <c r="AD11" s="59">
        <f t="shared" si="4"/>
        <v>270.024</v>
      </c>
      <c r="AE11" s="59">
        <f t="shared" si="4"/>
        <v>0</v>
      </c>
      <c r="AF11" s="59">
        <f t="shared" si="4"/>
        <v>2675.1030000000001</v>
      </c>
      <c r="AG11" s="59">
        <f t="shared" si="4"/>
        <v>0</v>
      </c>
      <c r="AH11" s="60"/>
      <c r="AI11" s="23">
        <f t="shared" ref="AI11:AI22" si="5">E11-G11</f>
        <v>168.1850000000004</v>
      </c>
    </row>
    <row r="12" spans="1:35" s="21" customFormat="1" ht="105.75" customHeight="1" x14ac:dyDescent="0.25">
      <c r="A12" s="583"/>
      <c r="B12" s="555"/>
      <c r="C12" s="61" t="s">
        <v>21</v>
      </c>
      <c r="D12" s="62">
        <f>SUM(J12,L12,N12,P12,R12,T12,V12,X12,Z12,AB12,AD12,AF12)</f>
        <v>6869.4490000000005</v>
      </c>
      <c r="E12" s="62">
        <f>J12+L12+N12+P12+R12+T12+V12+X12+Z12+AB12</f>
        <v>3924.3220000000001</v>
      </c>
      <c r="F12" s="62">
        <f>G12</f>
        <v>3756.1369999999997</v>
      </c>
      <c r="G12" s="62">
        <f>SUM(K12,M12,O12,Q12,S12,U12,W12,Y12,AA12,AC12,AE12,AG12)</f>
        <v>3756.1369999999997</v>
      </c>
      <c r="H12" s="62">
        <f>IFERROR(G12/D12*100,0)</f>
        <v>54.678868712759922</v>
      </c>
      <c r="I12" s="62">
        <f>IFERROR(G12/E12*100,0)</f>
        <v>95.714291538767711</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336.41500000000002</v>
      </c>
      <c r="V12" s="63">
        <f t="shared" si="6"/>
        <v>618.36400000000003</v>
      </c>
      <c r="W12" s="63">
        <f t="shared" si="6"/>
        <v>537.96399999999994</v>
      </c>
      <c r="X12" s="63">
        <f t="shared" si="6"/>
        <v>968.46399999999994</v>
      </c>
      <c r="Y12" s="63">
        <f t="shared" si="6"/>
        <v>828.15600000000006</v>
      </c>
      <c r="Z12" s="63">
        <f t="shared" si="6"/>
        <v>446.964</v>
      </c>
      <c r="AA12" s="63">
        <f t="shared" si="6"/>
        <v>579.15499999999997</v>
      </c>
      <c r="AB12" s="63">
        <f t="shared" si="6"/>
        <v>341.62400000000002</v>
      </c>
      <c r="AC12" s="63">
        <f t="shared" si="6"/>
        <v>334.83499999999998</v>
      </c>
      <c r="AD12" s="63">
        <f t="shared" si="6"/>
        <v>270.024</v>
      </c>
      <c r="AE12" s="63">
        <f t="shared" si="6"/>
        <v>0</v>
      </c>
      <c r="AF12" s="63">
        <f t="shared" si="6"/>
        <v>2675.1030000000001</v>
      </c>
      <c r="AG12" s="63">
        <f t="shared" si="6"/>
        <v>0</v>
      </c>
      <c r="AH12" s="60"/>
      <c r="AI12" s="23">
        <f t="shared" si="5"/>
        <v>168.1850000000004</v>
      </c>
    </row>
    <row r="13" spans="1:35" s="137" customFormat="1" ht="35.25" customHeight="1" x14ac:dyDescent="0.25">
      <c r="A13" s="651"/>
      <c r="B13" s="653" t="s">
        <v>183</v>
      </c>
      <c r="C13" s="108" t="s">
        <v>20</v>
      </c>
      <c r="D13" s="109">
        <f>D14</f>
        <v>822.59999999999991</v>
      </c>
      <c r="E13" s="109">
        <f t="shared" ref="E13:G21" si="7">E14</f>
        <v>822.59999999999991</v>
      </c>
      <c r="F13" s="109">
        <f>F14</f>
        <v>758.07600000000002</v>
      </c>
      <c r="G13" s="109">
        <f>G14</f>
        <v>758.07600000000002</v>
      </c>
      <c r="H13" s="109">
        <f t="shared" si="2"/>
        <v>92.156090444930712</v>
      </c>
      <c r="I13" s="109">
        <f t="shared" si="3"/>
        <v>92.156090444930712</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219.43100000000001</v>
      </c>
      <c r="X13" s="110">
        <f t="shared" si="8"/>
        <v>349.4</v>
      </c>
      <c r="Y13" s="110">
        <f t="shared" si="8"/>
        <v>208.59800000000001</v>
      </c>
      <c r="Z13" s="110">
        <f t="shared" si="8"/>
        <v>189.6</v>
      </c>
      <c r="AA13" s="110">
        <f t="shared" si="8"/>
        <v>321.24700000000001</v>
      </c>
      <c r="AB13" s="110">
        <f t="shared" si="8"/>
        <v>4.4000000000000004</v>
      </c>
      <c r="AC13" s="110">
        <f t="shared" si="8"/>
        <v>1.76</v>
      </c>
      <c r="AD13" s="110">
        <f t="shared" si="8"/>
        <v>0</v>
      </c>
      <c r="AE13" s="110">
        <f t="shared" si="8"/>
        <v>0</v>
      </c>
      <c r="AF13" s="110">
        <f t="shared" si="8"/>
        <v>0</v>
      </c>
      <c r="AG13" s="110">
        <f t="shared" si="8"/>
        <v>0</v>
      </c>
      <c r="AH13" s="111" t="s">
        <v>437</v>
      </c>
      <c r="AI13" s="497">
        <f t="shared" si="5"/>
        <v>64.523999999999887</v>
      </c>
    </row>
    <row r="14" spans="1:35" s="53" customFormat="1" ht="42" customHeight="1" x14ac:dyDescent="0.25">
      <c r="A14" s="652"/>
      <c r="B14" s="654"/>
      <c r="C14" s="112" t="s">
        <v>21</v>
      </c>
      <c r="D14" s="113">
        <f>SUM(J14,L14,N14,P14,R14,T14,V14,X14,Z14,AB14,AD14,AF14)</f>
        <v>822.59999999999991</v>
      </c>
      <c r="E14" s="113">
        <f>J14+L14+N14+P14+R14+T14+V14+X14+Z14+AB14</f>
        <v>822.59999999999991</v>
      </c>
      <c r="F14" s="113">
        <f>G14</f>
        <v>758.07600000000002</v>
      </c>
      <c r="G14" s="113">
        <f>SUM(K14,M14,O14,Q14,S14,U14,W14,Y14,AA14,AC14,AE14,AG14)</f>
        <v>758.07600000000002</v>
      </c>
      <c r="H14" s="113">
        <f t="shared" ref="H14:H22" si="9">IFERROR(G14/D14*100,0)</f>
        <v>92.156090444930712</v>
      </c>
      <c r="I14" s="113">
        <f t="shared" ref="I14:I22" si="10">IFERROR(G14/E14*100,0)</f>
        <v>92.156090444930712</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219.43100000000001</v>
      </c>
      <c r="X14" s="114">
        <v>349.4</v>
      </c>
      <c r="Y14" s="114">
        <v>208.59800000000001</v>
      </c>
      <c r="Z14" s="114">
        <v>189.6</v>
      </c>
      <c r="AA14" s="114">
        <v>321.24700000000001</v>
      </c>
      <c r="AB14" s="114">
        <v>4.4000000000000004</v>
      </c>
      <c r="AC14" s="114">
        <v>1.76</v>
      </c>
      <c r="AD14" s="114">
        <v>0</v>
      </c>
      <c r="AE14" s="114">
        <v>0</v>
      </c>
      <c r="AF14" s="114">
        <v>0</v>
      </c>
      <c r="AG14" s="114">
        <v>0</v>
      </c>
      <c r="AH14" s="111"/>
      <c r="AI14" s="497">
        <f t="shared" si="5"/>
        <v>64.523999999999887</v>
      </c>
    </row>
    <row r="15" spans="1:35" s="137" customFormat="1" ht="35.25" customHeight="1" x14ac:dyDescent="0.25">
      <c r="A15" s="655"/>
      <c r="B15" s="653" t="s">
        <v>184</v>
      </c>
      <c r="C15" s="108" t="s">
        <v>20</v>
      </c>
      <c r="D15" s="109">
        <f>D16</f>
        <v>602.75</v>
      </c>
      <c r="E15" s="109">
        <f t="shared" si="7"/>
        <v>602.75</v>
      </c>
      <c r="F15" s="109">
        <f t="shared" si="7"/>
        <v>511.012</v>
      </c>
      <c r="G15" s="109">
        <f t="shared" si="7"/>
        <v>511.012</v>
      </c>
      <c r="H15" s="109">
        <f t="shared" si="9"/>
        <v>84.780091248444634</v>
      </c>
      <c r="I15" s="109">
        <f t="shared" si="10"/>
        <v>84.780091248444634</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96.430999999999997</v>
      </c>
      <c r="V15" s="110">
        <f t="shared" si="8"/>
        <v>78.900000000000006</v>
      </c>
      <c r="W15" s="110">
        <f t="shared" si="8"/>
        <v>51.311999999999998</v>
      </c>
      <c r="X15" s="110">
        <f t="shared" si="8"/>
        <v>361.7</v>
      </c>
      <c r="Y15" s="110">
        <f t="shared" si="8"/>
        <v>362.19400000000002</v>
      </c>
      <c r="Z15" s="110">
        <f t="shared" si="8"/>
        <v>0</v>
      </c>
      <c r="AA15" s="110">
        <f t="shared" si="8"/>
        <v>0.54400000000000004</v>
      </c>
      <c r="AB15" s="110">
        <f t="shared" si="8"/>
        <v>0</v>
      </c>
      <c r="AC15" s="110">
        <f t="shared" si="8"/>
        <v>0.53100000000000003</v>
      </c>
      <c r="AD15" s="110">
        <f t="shared" si="8"/>
        <v>0</v>
      </c>
      <c r="AE15" s="110">
        <f t="shared" si="8"/>
        <v>0</v>
      </c>
      <c r="AF15" s="110">
        <f t="shared" si="8"/>
        <v>0</v>
      </c>
      <c r="AG15" s="110">
        <f t="shared" si="8"/>
        <v>0</v>
      </c>
      <c r="AH15" s="111" t="s">
        <v>437</v>
      </c>
      <c r="AI15" s="497">
        <f t="shared" si="5"/>
        <v>91.738</v>
      </c>
    </row>
    <row r="16" spans="1:35" s="53" customFormat="1" ht="42" customHeight="1" x14ac:dyDescent="0.25">
      <c r="A16" s="656"/>
      <c r="B16" s="657"/>
      <c r="C16" s="112" t="s">
        <v>21</v>
      </c>
      <c r="D16" s="113">
        <f>SUM(J16,L16,N16,P16,R16,T16,V16,X16,Z16,AB16,AD16,AF16)</f>
        <v>602.75</v>
      </c>
      <c r="E16" s="113">
        <f>J16+L16+N16+P16+R16+T16+V16+X16+Z16+AB16</f>
        <v>602.75</v>
      </c>
      <c r="F16" s="113">
        <f>G16</f>
        <v>511.012</v>
      </c>
      <c r="G16" s="113">
        <f>SUM(K16,M16,O16,Q16,S16,U16,W16,Y16,AA16,AC16,AE16,AG16)</f>
        <v>511.012</v>
      </c>
      <c r="H16" s="113">
        <f t="shared" si="9"/>
        <v>84.780091248444634</v>
      </c>
      <c r="I16" s="113">
        <f t="shared" si="10"/>
        <v>84.780091248444634</v>
      </c>
      <c r="J16" s="114">
        <v>0</v>
      </c>
      <c r="K16" s="114">
        <v>0</v>
      </c>
      <c r="L16" s="114">
        <v>0</v>
      </c>
      <c r="M16" s="114">
        <v>0</v>
      </c>
      <c r="N16" s="114">
        <v>0</v>
      </c>
      <c r="O16" s="114">
        <v>0</v>
      </c>
      <c r="P16" s="114">
        <v>0</v>
      </c>
      <c r="Q16" s="114">
        <v>0</v>
      </c>
      <c r="R16" s="114">
        <v>0</v>
      </c>
      <c r="S16" s="114">
        <v>0</v>
      </c>
      <c r="T16" s="114">
        <v>162.15</v>
      </c>
      <c r="U16" s="114">
        <v>96.430999999999997</v>
      </c>
      <c r="V16" s="114">
        <v>78.900000000000006</v>
      </c>
      <c r="W16" s="114">
        <v>51.311999999999998</v>
      </c>
      <c r="X16" s="114">
        <v>361.7</v>
      </c>
      <c r="Y16" s="114">
        <v>362.19400000000002</v>
      </c>
      <c r="Z16" s="114">
        <v>0</v>
      </c>
      <c r="AA16" s="114">
        <v>0.54400000000000004</v>
      </c>
      <c r="AB16" s="114">
        <v>0</v>
      </c>
      <c r="AC16" s="114">
        <v>0.53100000000000003</v>
      </c>
      <c r="AD16" s="114">
        <v>0</v>
      </c>
      <c r="AE16" s="114">
        <v>0</v>
      </c>
      <c r="AF16" s="114">
        <v>0</v>
      </c>
      <c r="AG16" s="114">
        <v>0</v>
      </c>
      <c r="AH16" s="111"/>
      <c r="AI16" s="497">
        <f t="shared" si="5"/>
        <v>91.738</v>
      </c>
    </row>
    <row r="17" spans="1:35" s="137" customFormat="1" ht="42.75" customHeight="1" x14ac:dyDescent="0.25">
      <c r="A17" s="651"/>
      <c r="B17" s="653" t="s">
        <v>185</v>
      </c>
      <c r="C17" s="108" t="s">
        <v>20</v>
      </c>
      <c r="D17" s="109">
        <f>D18</f>
        <v>5107.0990000000002</v>
      </c>
      <c r="E17" s="109">
        <f t="shared" si="7"/>
        <v>2265.6120000000001</v>
      </c>
      <c r="F17" s="109">
        <f t="shared" si="7"/>
        <v>2265.6120000000001</v>
      </c>
      <c r="G17" s="109">
        <f t="shared" si="7"/>
        <v>2265.6120000000001</v>
      </c>
      <c r="H17" s="109">
        <f t="shared" si="9"/>
        <v>44.362014521355469</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0</v>
      </c>
      <c r="AF17" s="110">
        <f t="shared" si="8"/>
        <v>2615.5830000000001</v>
      </c>
      <c r="AG17" s="110">
        <f t="shared" si="8"/>
        <v>0</v>
      </c>
      <c r="AH17" s="138"/>
      <c r="AI17" s="497">
        <f t="shared" si="5"/>
        <v>0</v>
      </c>
    </row>
    <row r="18" spans="1:35" s="53" customFormat="1" ht="45.75" customHeight="1" x14ac:dyDescent="0.25">
      <c r="A18" s="652"/>
      <c r="B18" s="654"/>
      <c r="C18" s="112" t="s">
        <v>21</v>
      </c>
      <c r="D18" s="113">
        <f>SUM(J18,L18,N18,P18,R18,T18,V18,X18,Z18,AB18,AD18,AF18)</f>
        <v>5107.0990000000002</v>
      </c>
      <c r="E18" s="113">
        <f>J18+L18+N18+P18+R18+T18+V18+X18+Z18+AB18</f>
        <v>2265.6120000000001</v>
      </c>
      <c r="F18" s="113">
        <f>G18</f>
        <v>2265.6120000000001</v>
      </c>
      <c r="G18" s="113">
        <f>SUM(K18,M18,O18,Q18,S18,U18,W18,Y18,AA18,AC18,AE18,AG18)</f>
        <v>2265.6120000000001</v>
      </c>
      <c r="H18" s="113">
        <f t="shared" si="9"/>
        <v>44.362014521355469</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0</v>
      </c>
      <c r="AF18" s="114">
        <v>2615.5830000000001</v>
      </c>
      <c r="AG18" s="114">
        <v>0</v>
      </c>
      <c r="AH18" s="138"/>
      <c r="AI18" s="497">
        <f t="shared" si="5"/>
        <v>0</v>
      </c>
    </row>
    <row r="19" spans="1:35" s="137" customFormat="1" ht="45.75" customHeight="1" x14ac:dyDescent="0.25">
      <c r="A19" s="651"/>
      <c r="B19" s="658" t="s">
        <v>186</v>
      </c>
      <c r="C19" s="108" t="s">
        <v>20</v>
      </c>
      <c r="D19" s="109">
        <f>D20</f>
        <v>100</v>
      </c>
      <c r="E19" s="109">
        <f t="shared" si="7"/>
        <v>75.180000000000007</v>
      </c>
      <c r="F19" s="109">
        <f t="shared" si="7"/>
        <v>75.180000000000007</v>
      </c>
      <c r="G19" s="109">
        <f t="shared" si="7"/>
        <v>75.180000000000007</v>
      </c>
      <c r="H19" s="109">
        <f t="shared" si="9"/>
        <v>75.180000000000007</v>
      </c>
      <c r="I19" s="109">
        <f t="shared" si="10"/>
        <v>100</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497">
        <f t="shared" si="5"/>
        <v>0</v>
      </c>
    </row>
    <row r="20" spans="1:35" s="53" customFormat="1" ht="44.25" customHeight="1" x14ac:dyDescent="0.25">
      <c r="A20" s="652"/>
      <c r="B20" s="659"/>
      <c r="C20" s="112" t="s">
        <v>21</v>
      </c>
      <c r="D20" s="113">
        <f>SUM(J20,L20,N20,P20,R20,T20,V20,X20,Z20,AB20,AD20,AF20)</f>
        <v>100</v>
      </c>
      <c r="E20" s="113">
        <f>J20+L20+N20+P20+R20+T20+V20+X20+Z20+AB20</f>
        <v>75.180000000000007</v>
      </c>
      <c r="F20" s="113">
        <f>G20</f>
        <v>75.180000000000007</v>
      </c>
      <c r="G20" s="113">
        <f>SUM(K20,M20,O20,Q20,S20,U20,W20,Y20,AA20,AC20,AE20,AG20)</f>
        <v>75.180000000000007</v>
      </c>
      <c r="H20" s="113">
        <f t="shared" si="9"/>
        <v>75.180000000000007</v>
      </c>
      <c r="I20" s="113">
        <f t="shared" si="10"/>
        <v>100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497">
        <f t="shared" si="5"/>
        <v>0</v>
      </c>
    </row>
    <row r="21" spans="1:35" s="137" customFormat="1" ht="35.25" customHeight="1" x14ac:dyDescent="0.25">
      <c r="A21" s="651"/>
      <c r="B21" s="658" t="s">
        <v>187</v>
      </c>
      <c r="C21" s="108" t="s">
        <v>20</v>
      </c>
      <c r="D21" s="109">
        <f>D22</f>
        <v>237.00000000000003</v>
      </c>
      <c r="E21" s="109">
        <f t="shared" si="7"/>
        <v>158.18</v>
      </c>
      <c r="F21" s="109">
        <f t="shared" si="7"/>
        <v>146.25700000000001</v>
      </c>
      <c r="G21" s="109">
        <f t="shared" si="7"/>
        <v>146.25700000000001</v>
      </c>
      <c r="H21" s="109">
        <f t="shared" si="9"/>
        <v>61.711814345991556</v>
      </c>
      <c r="I21" s="109">
        <f t="shared" si="10"/>
        <v>92.46238462511063</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0</v>
      </c>
      <c r="AF21" s="110">
        <f t="shared" si="8"/>
        <v>59.52</v>
      </c>
      <c r="AG21" s="110">
        <f t="shared" si="8"/>
        <v>0</v>
      </c>
      <c r="AH21" s="111" t="s">
        <v>437</v>
      </c>
      <c r="AI21" s="497">
        <f t="shared" si="5"/>
        <v>11.923000000000002</v>
      </c>
    </row>
    <row r="22" spans="1:35" s="53" customFormat="1" ht="42" customHeight="1" x14ac:dyDescent="0.25">
      <c r="A22" s="652"/>
      <c r="B22" s="659"/>
      <c r="C22" s="112" t="s">
        <v>21</v>
      </c>
      <c r="D22" s="113">
        <f>SUM(J22,L22,N22,P22,R22,T22,V22,X22,Z22,AB22,AD22,AF22)</f>
        <v>237.00000000000003</v>
      </c>
      <c r="E22" s="113">
        <f>J22+L22+N22+P22+R22+T22+V22+X22+Z22+AB22</f>
        <v>158.18</v>
      </c>
      <c r="F22" s="113">
        <f>G22</f>
        <v>146.25700000000001</v>
      </c>
      <c r="G22" s="113">
        <f>SUM(K22,M22,O22,Q22,S22,U22,W22,Y22,AA22,AC22,AE22,AG22)</f>
        <v>146.25700000000001</v>
      </c>
      <c r="H22" s="113">
        <f t="shared" si="9"/>
        <v>61.711814345991556</v>
      </c>
      <c r="I22" s="113">
        <f t="shared" si="10"/>
        <v>92.46238462511063</v>
      </c>
      <c r="J22" s="114">
        <v>0</v>
      </c>
      <c r="K22" s="114">
        <v>0</v>
      </c>
      <c r="L22" s="114">
        <v>0</v>
      </c>
      <c r="M22" s="114">
        <v>0</v>
      </c>
      <c r="N22" s="114">
        <v>0</v>
      </c>
      <c r="O22" s="114">
        <v>0</v>
      </c>
      <c r="P22" s="114">
        <v>0</v>
      </c>
      <c r="Q22" s="114">
        <v>0</v>
      </c>
      <c r="R22" s="114">
        <v>0</v>
      </c>
      <c r="S22" s="114">
        <v>0</v>
      </c>
      <c r="T22" s="114">
        <v>10.56</v>
      </c>
      <c r="U22" s="114">
        <v>10.56</v>
      </c>
      <c r="V22" s="114">
        <v>48.56</v>
      </c>
      <c r="W22" s="114">
        <v>41.317</v>
      </c>
      <c r="X22" s="114">
        <v>31.46</v>
      </c>
      <c r="Y22" s="114">
        <v>31.46</v>
      </c>
      <c r="Z22" s="114">
        <v>31.46</v>
      </c>
      <c r="AA22" s="114">
        <v>31.46</v>
      </c>
      <c r="AB22" s="114">
        <v>36.14</v>
      </c>
      <c r="AC22" s="114">
        <v>31.46</v>
      </c>
      <c r="AD22" s="114">
        <v>19.3</v>
      </c>
      <c r="AE22" s="114">
        <v>0</v>
      </c>
      <c r="AF22" s="114">
        <v>59.52</v>
      </c>
      <c r="AG22" s="114">
        <v>0</v>
      </c>
      <c r="AH22" s="138"/>
      <c r="AI22" s="497">
        <f t="shared" si="5"/>
        <v>11.923000000000002</v>
      </c>
    </row>
    <row r="23" spans="1:35" s="26" customFormat="1" ht="18.75" customHeight="1" x14ac:dyDescent="0.25">
      <c r="A23" s="132" t="s">
        <v>153</v>
      </c>
      <c r="B23" s="596" t="s">
        <v>181</v>
      </c>
      <c r="C23" s="597"/>
      <c r="D23" s="597"/>
      <c r="E23" s="597"/>
      <c r="F23" s="597"/>
      <c r="G23" s="597"/>
      <c r="H23" s="597"/>
      <c r="I23" s="597"/>
      <c r="J23" s="597"/>
      <c r="K23" s="597"/>
      <c r="L23" s="597"/>
      <c r="M23" s="597"/>
      <c r="N23" s="597"/>
      <c r="O23" s="597"/>
      <c r="P23" s="597"/>
      <c r="Q23" s="597"/>
      <c r="R23" s="597"/>
      <c r="S23" s="597"/>
      <c r="T23" s="597"/>
      <c r="U23" s="597"/>
      <c r="V23" s="597"/>
      <c r="W23" s="597"/>
      <c r="X23" s="597"/>
      <c r="Y23" s="597"/>
      <c r="Z23" s="597"/>
      <c r="AA23" s="597"/>
      <c r="AB23" s="597"/>
      <c r="AC23" s="597"/>
      <c r="AD23" s="597"/>
      <c r="AE23" s="597"/>
      <c r="AF23" s="597"/>
      <c r="AG23" s="598"/>
      <c r="AH23" s="75"/>
      <c r="AI23" s="260"/>
    </row>
    <row r="24" spans="1:35" s="21" customFormat="1" ht="82.5" customHeight="1" x14ac:dyDescent="0.25">
      <c r="A24" s="581" t="s">
        <v>162</v>
      </c>
      <c r="B24" s="660" t="s">
        <v>188</v>
      </c>
      <c r="C24" s="57" t="s">
        <v>20</v>
      </c>
      <c r="D24" s="58">
        <f>D25</f>
        <v>8859.99</v>
      </c>
      <c r="E24" s="58">
        <f>E25</f>
        <v>7794.9470000000001</v>
      </c>
      <c r="F24" s="58">
        <f t="shared" ref="E24:G26" si="11">F25</f>
        <v>7485.1320000000005</v>
      </c>
      <c r="G24" s="58">
        <f t="shared" si="11"/>
        <v>7485.1320000000005</v>
      </c>
      <c r="H24" s="58">
        <f t="shared" si="2"/>
        <v>84.482397835663477</v>
      </c>
      <c r="I24" s="58">
        <f t="shared" si="3"/>
        <v>96.025438017731233</v>
      </c>
      <c r="J24" s="59">
        <f>J25</f>
        <v>1258.117</v>
      </c>
      <c r="K24" s="59">
        <f t="shared" ref="K24:AG26" si="12">K25</f>
        <v>717.13400000000001</v>
      </c>
      <c r="L24" s="59">
        <f t="shared" si="12"/>
        <v>761.00900000000001</v>
      </c>
      <c r="M24" s="59">
        <f t="shared" si="12"/>
        <v>1036.6859999999999</v>
      </c>
      <c r="N24" s="59">
        <f t="shared" si="12"/>
        <v>664.92600000000004</v>
      </c>
      <c r="O24" s="59">
        <f t="shared" si="12"/>
        <v>820.24300000000005</v>
      </c>
      <c r="P24" s="59">
        <f t="shared" si="12"/>
        <v>792.03</v>
      </c>
      <c r="Q24" s="59">
        <f t="shared" si="12"/>
        <v>729.72299999999996</v>
      </c>
      <c r="R24" s="59">
        <f t="shared" si="12"/>
        <v>690.63199999999995</v>
      </c>
      <c r="S24" s="59">
        <f t="shared" si="12"/>
        <v>584.93399999999997</v>
      </c>
      <c r="T24" s="59">
        <f t="shared" si="12"/>
        <v>775.86699999999996</v>
      </c>
      <c r="U24" s="59">
        <f t="shared" si="12"/>
        <v>926.85900000000004</v>
      </c>
      <c r="V24" s="59">
        <f t="shared" si="12"/>
        <v>884.33</v>
      </c>
      <c r="W24" s="59">
        <f t="shared" si="12"/>
        <v>727.06</v>
      </c>
      <c r="X24" s="59">
        <f t="shared" si="12"/>
        <v>690.63199999999995</v>
      </c>
      <c r="Y24" s="59">
        <f t="shared" si="12"/>
        <v>516.38</v>
      </c>
      <c r="Z24" s="59">
        <f t="shared" si="12"/>
        <v>531.82600000000002</v>
      </c>
      <c r="AA24" s="59">
        <f t="shared" si="12"/>
        <v>812.64099999999996</v>
      </c>
      <c r="AB24" s="59">
        <f t="shared" si="12"/>
        <v>745.57799999999997</v>
      </c>
      <c r="AC24" s="59">
        <f t="shared" si="12"/>
        <v>613.47199999999998</v>
      </c>
      <c r="AD24" s="59">
        <f t="shared" si="12"/>
        <v>707.31899999999996</v>
      </c>
      <c r="AE24" s="59">
        <f t="shared" si="12"/>
        <v>0</v>
      </c>
      <c r="AF24" s="59">
        <f t="shared" si="12"/>
        <v>357.72399999999999</v>
      </c>
      <c r="AG24" s="59">
        <f t="shared" si="12"/>
        <v>0</v>
      </c>
      <c r="AH24" s="64" t="s">
        <v>436</v>
      </c>
      <c r="AI24" s="497">
        <f>E24-G24</f>
        <v>309.8149999999996</v>
      </c>
    </row>
    <row r="25" spans="1:35" s="22" customFormat="1" ht="73.5" customHeight="1" x14ac:dyDescent="0.25">
      <c r="A25" s="583"/>
      <c r="B25" s="661"/>
      <c r="C25" s="61" t="s">
        <v>21</v>
      </c>
      <c r="D25" s="62">
        <f>SUM(J25,L25,N25,P25,R25,T25,V25,X25,Z25,AB25,AD25,AF25)</f>
        <v>8859.99</v>
      </c>
      <c r="E25" s="62">
        <f>J25+L25+N25+P25+R25+T25+V25+X25+Z25+AB25</f>
        <v>7794.9470000000001</v>
      </c>
      <c r="F25" s="62">
        <f>G25</f>
        <v>7485.1320000000005</v>
      </c>
      <c r="G25" s="62">
        <f>SUM(K25,M25,O25,Q25,S25,U25,W25,Y25,AA25,AC25,AE25,AG25)</f>
        <v>7485.1320000000005</v>
      </c>
      <c r="H25" s="62">
        <f>IFERROR(G25/D25*100,0)</f>
        <v>84.482397835663477</v>
      </c>
      <c r="I25" s="62">
        <f>IFERROR(G25/E25*100,0)</f>
        <v>96.025438017731233</v>
      </c>
      <c r="J25" s="63">
        <v>1258.117</v>
      </c>
      <c r="K25" s="63">
        <v>717.13400000000001</v>
      </c>
      <c r="L25" s="63">
        <v>761.00900000000001</v>
      </c>
      <c r="M25" s="63">
        <v>1036.6859999999999</v>
      </c>
      <c r="N25" s="63">
        <v>664.92600000000004</v>
      </c>
      <c r="O25" s="63">
        <v>820.24300000000005</v>
      </c>
      <c r="P25" s="63">
        <v>792.03</v>
      </c>
      <c r="Q25" s="63">
        <v>729.72299999999996</v>
      </c>
      <c r="R25" s="63">
        <v>690.63199999999995</v>
      </c>
      <c r="S25" s="63">
        <v>584.93399999999997</v>
      </c>
      <c r="T25" s="63">
        <v>775.86699999999996</v>
      </c>
      <c r="U25" s="63">
        <v>926.85900000000004</v>
      </c>
      <c r="V25" s="63">
        <v>884.33</v>
      </c>
      <c r="W25" s="63">
        <v>727.06</v>
      </c>
      <c r="X25" s="63">
        <v>690.63199999999995</v>
      </c>
      <c r="Y25" s="63">
        <v>516.38</v>
      </c>
      <c r="Z25" s="63">
        <v>531.82600000000002</v>
      </c>
      <c r="AA25" s="63">
        <v>812.64099999999996</v>
      </c>
      <c r="AB25" s="63">
        <v>745.57799999999997</v>
      </c>
      <c r="AC25" s="63">
        <v>613.47199999999998</v>
      </c>
      <c r="AD25" s="63">
        <v>707.31899999999996</v>
      </c>
      <c r="AE25" s="63">
        <v>0</v>
      </c>
      <c r="AF25" s="63">
        <v>357.72399999999999</v>
      </c>
      <c r="AG25" s="63">
        <v>0</v>
      </c>
      <c r="AH25" s="64"/>
      <c r="AI25" s="497">
        <f>E25-G25</f>
        <v>309.8149999999996</v>
      </c>
    </row>
    <row r="26" spans="1:35" s="131" customFormat="1" ht="179.25" customHeight="1" x14ac:dyDescent="0.25">
      <c r="A26" s="581" t="s">
        <v>155</v>
      </c>
      <c r="B26" s="553" t="s">
        <v>189</v>
      </c>
      <c r="C26" s="57" t="s">
        <v>20</v>
      </c>
      <c r="D26" s="58">
        <f>D27</f>
        <v>39622.498</v>
      </c>
      <c r="E26" s="58">
        <f t="shared" si="11"/>
        <v>33231.004000000001</v>
      </c>
      <c r="F26" s="58">
        <f t="shared" si="11"/>
        <v>28676.466999999997</v>
      </c>
      <c r="G26" s="58">
        <f t="shared" si="11"/>
        <v>28676.466999999997</v>
      </c>
      <c r="H26" s="58">
        <f>IFERROR(G26/D26*100,0)</f>
        <v>72.374202656278754</v>
      </c>
      <c r="I26" s="58">
        <f>IFERROR(G26/E26*100,0)</f>
        <v>86.294314189243266</v>
      </c>
      <c r="J26" s="59">
        <f>J27</f>
        <v>3107.2289999999998</v>
      </c>
      <c r="K26" s="59">
        <f t="shared" si="12"/>
        <v>1158.204</v>
      </c>
      <c r="L26" s="59">
        <f t="shared" si="12"/>
        <v>3185.777</v>
      </c>
      <c r="M26" s="59">
        <f t="shared" si="12"/>
        <v>3406.5630000000001</v>
      </c>
      <c r="N26" s="59">
        <f t="shared" si="12"/>
        <v>3311.9769999999999</v>
      </c>
      <c r="O26" s="59">
        <f t="shared" si="12"/>
        <v>2765.6439999999998</v>
      </c>
      <c r="P26" s="59">
        <f t="shared" si="12"/>
        <v>3771.3470000000002</v>
      </c>
      <c r="Q26" s="59">
        <f t="shared" si="12"/>
        <v>3205.0340000000001</v>
      </c>
      <c r="R26" s="59">
        <f t="shared" si="12"/>
        <v>3512.1559999999999</v>
      </c>
      <c r="S26" s="59">
        <f t="shared" si="12"/>
        <v>3170.451</v>
      </c>
      <c r="T26" s="59">
        <f t="shared" si="12"/>
        <v>3528.9769999999999</v>
      </c>
      <c r="U26" s="59">
        <f t="shared" si="12"/>
        <v>3412.5129999999999</v>
      </c>
      <c r="V26" s="59">
        <f t="shared" si="12"/>
        <v>3393.5529999999999</v>
      </c>
      <c r="W26" s="59">
        <f t="shared" si="12"/>
        <v>3283.4949999999999</v>
      </c>
      <c r="X26" s="59">
        <f t="shared" si="12"/>
        <v>3328.777</v>
      </c>
      <c r="Y26" s="59">
        <f t="shared" si="12"/>
        <v>2835.944</v>
      </c>
      <c r="Z26" s="59">
        <f t="shared" si="12"/>
        <v>2988.777</v>
      </c>
      <c r="AA26" s="59">
        <f t="shared" si="12"/>
        <v>2731.6019999999999</v>
      </c>
      <c r="AB26" s="59">
        <f t="shared" si="12"/>
        <v>3102.4340000000002</v>
      </c>
      <c r="AC26" s="59">
        <f t="shared" si="12"/>
        <v>2707.0169999999998</v>
      </c>
      <c r="AD26" s="59">
        <f t="shared" si="12"/>
        <v>2958.377</v>
      </c>
      <c r="AE26" s="59">
        <f t="shared" si="12"/>
        <v>0</v>
      </c>
      <c r="AF26" s="59">
        <f t="shared" si="12"/>
        <v>3433.1170000000002</v>
      </c>
      <c r="AG26" s="59">
        <f t="shared" si="12"/>
        <v>0</v>
      </c>
      <c r="AH26" s="64" t="s">
        <v>438</v>
      </c>
      <c r="AI26" s="497">
        <f>E26-G26</f>
        <v>4554.5370000000039</v>
      </c>
    </row>
    <row r="27" spans="1:35" s="18" customFormat="1" ht="73.5" customHeight="1" x14ac:dyDescent="0.25">
      <c r="A27" s="583"/>
      <c r="B27" s="555"/>
      <c r="C27" s="61" t="s">
        <v>21</v>
      </c>
      <c r="D27" s="62">
        <f>SUM(J27,L27,N27,P27,R27,T27,V27,X27,Z27,AB27,AD27,AF27)</f>
        <v>39622.498</v>
      </c>
      <c r="E27" s="62">
        <f>J27+L27+N27+P27+R27+T27+V27+X27+Z27+AB27</f>
        <v>33231.004000000001</v>
      </c>
      <c r="F27" s="62">
        <f>G27</f>
        <v>28676.466999999997</v>
      </c>
      <c r="G27" s="62">
        <f>SUM(K27,M27,O27,Q27,S27,U27,W27,Y27,AA27,AC27,AE27,AG27)</f>
        <v>28676.466999999997</v>
      </c>
      <c r="H27" s="62">
        <f>IFERROR(G27/D27*100,0)</f>
        <v>72.374202656278754</v>
      </c>
      <c r="I27" s="62">
        <f>IFERROR(G27/E27*100,0)</f>
        <v>86.294314189243266</v>
      </c>
      <c r="J27" s="63">
        <v>3107.2289999999998</v>
      </c>
      <c r="K27" s="63">
        <v>1158.204</v>
      </c>
      <c r="L27" s="63">
        <v>3185.777</v>
      </c>
      <c r="M27" s="63">
        <v>3406.5630000000001</v>
      </c>
      <c r="N27" s="63">
        <v>3311.9769999999999</v>
      </c>
      <c r="O27" s="63">
        <v>2765.6439999999998</v>
      </c>
      <c r="P27" s="63">
        <v>3771.3470000000002</v>
      </c>
      <c r="Q27" s="63">
        <v>3205.0340000000001</v>
      </c>
      <c r="R27" s="63">
        <v>3512.1559999999999</v>
      </c>
      <c r="S27" s="63">
        <v>3170.451</v>
      </c>
      <c r="T27" s="63">
        <v>3528.9769999999999</v>
      </c>
      <c r="U27" s="63">
        <v>3412.5129999999999</v>
      </c>
      <c r="V27" s="63">
        <v>3393.5529999999999</v>
      </c>
      <c r="W27" s="63">
        <v>3283.4949999999999</v>
      </c>
      <c r="X27" s="63">
        <v>3328.777</v>
      </c>
      <c r="Y27" s="63">
        <v>2835.944</v>
      </c>
      <c r="Z27" s="63">
        <v>2988.777</v>
      </c>
      <c r="AA27" s="63">
        <v>2731.6019999999999</v>
      </c>
      <c r="AB27" s="63">
        <v>3102.4340000000002</v>
      </c>
      <c r="AC27" s="63">
        <v>2707.0169999999998</v>
      </c>
      <c r="AD27" s="63">
        <v>2958.377</v>
      </c>
      <c r="AE27" s="63">
        <v>0</v>
      </c>
      <c r="AF27" s="63">
        <v>3433.1170000000002</v>
      </c>
      <c r="AG27" s="63">
        <v>0</v>
      </c>
      <c r="AH27" s="64"/>
      <c r="AI27" s="497">
        <f>E27-G27</f>
        <v>4554.5370000000039</v>
      </c>
    </row>
    <row r="28" spans="1:35" s="10" customFormat="1" x14ac:dyDescent="0.25">
      <c r="C28" s="17"/>
    </row>
    <row r="29" spans="1:35" x14ac:dyDescent="0.25">
      <c r="G29" s="322"/>
      <c r="I29" s="322"/>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3"/>
    </customSheetView>
    <customSheetView guid="{B686A221-D885-4536-BEAC-E7F4BBC02150}" scale="80" showPageBreaks="1">
      <pane xSplit="6" ySplit="7" topLeftCell="W27" activePane="bottomRight" state="frozen"/>
      <selection pane="bottomRight" activeCell="AI30" sqref="AI30"/>
      <pageMargins left="0.11811023622047245" right="0.11811023622047245" top="0.74803149606299213" bottom="0.74803149606299213" header="0.31496062992125984" footer="0.31496062992125984"/>
      <pageSetup paperSize="9" scale="55" orientation="landscape" r:id="rId4"/>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5"/>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6"/>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7"/>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8"/>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9"/>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10"/>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11"/>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6"/>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7"/>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1"/>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24"/>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25"/>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6"/>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27"/>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A26:A27"/>
    <mergeCell ref="B26:B27"/>
    <mergeCell ref="A19:A20"/>
    <mergeCell ref="B19:B20"/>
    <mergeCell ref="A21:A22"/>
    <mergeCell ref="B21:B22"/>
    <mergeCell ref="B23:AG23"/>
    <mergeCell ref="A24:A25"/>
    <mergeCell ref="B24:B25"/>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66" t="s">
        <v>24</v>
      </c>
      <c r="D2" s="566"/>
      <c r="E2" s="566"/>
      <c r="F2" s="566"/>
      <c r="G2" s="566"/>
      <c r="H2" s="566"/>
      <c r="I2" s="566"/>
      <c r="J2" s="566"/>
      <c r="K2" s="566"/>
      <c r="L2" s="566"/>
      <c r="M2" s="566"/>
      <c r="N2" s="566"/>
      <c r="O2" s="566"/>
      <c r="P2" s="566"/>
      <c r="Q2" s="566"/>
      <c r="R2" s="566"/>
      <c r="S2" s="566"/>
      <c r="T2" s="93"/>
      <c r="U2" s="93"/>
      <c r="V2" s="93"/>
      <c r="W2" s="93"/>
      <c r="X2" s="93"/>
      <c r="Y2" s="93"/>
      <c r="Z2" s="93"/>
      <c r="AA2" s="93"/>
      <c r="AB2" s="93"/>
      <c r="AC2" s="93"/>
      <c r="AD2" s="93"/>
      <c r="AE2" s="93"/>
      <c r="AF2" s="93"/>
      <c r="AG2" s="93"/>
      <c r="AH2" s="93"/>
    </row>
    <row r="3" spans="1:35" ht="36.75" customHeight="1" x14ac:dyDescent="0.25">
      <c r="A3" s="92"/>
      <c r="B3" s="92"/>
      <c r="C3" s="567" t="s">
        <v>45</v>
      </c>
      <c r="D3" s="567"/>
      <c r="E3" s="567"/>
      <c r="F3" s="567"/>
      <c r="G3" s="567"/>
      <c r="H3" s="567"/>
      <c r="I3" s="567"/>
      <c r="J3" s="567"/>
      <c r="K3" s="567"/>
      <c r="L3" s="567"/>
      <c r="M3" s="567"/>
      <c r="N3" s="567"/>
      <c r="O3" s="567"/>
      <c r="P3" s="567"/>
      <c r="Q3" s="567"/>
      <c r="R3" s="567"/>
      <c r="S3" s="567"/>
      <c r="T3" s="94"/>
      <c r="U3" s="94"/>
      <c r="V3" s="94"/>
      <c r="W3" s="94"/>
      <c r="X3" s="94"/>
      <c r="Y3" s="94"/>
      <c r="Z3" s="94"/>
      <c r="AA3" s="94"/>
      <c r="AB3" s="94"/>
      <c r="AC3" s="94"/>
      <c r="AD3" s="95"/>
      <c r="AE3" s="95"/>
      <c r="AF3" s="95"/>
      <c r="AG3" s="37" t="s">
        <v>0</v>
      </c>
      <c r="AH3" s="95"/>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45962</v>
      </c>
      <c r="F6" s="39">
        <v>45748</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3" t="s">
        <v>23</v>
      </c>
      <c r="C8" s="57" t="s">
        <v>20</v>
      </c>
      <c r="D8" s="58">
        <f>D9+D10</f>
        <v>4880.7790000000005</v>
      </c>
      <c r="E8" s="58">
        <f t="shared" ref="E8:G8" si="0">E9+E10</f>
        <v>4830.5219999999999</v>
      </c>
      <c r="F8" s="58">
        <f t="shared" si="0"/>
        <v>4722.66</v>
      </c>
      <c r="G8" s="58">
        <f t="shared" si="0"/>
        <v>4722.66</v>
      </c>
      <c r="H8" s="58">
        <f>IFERROR(G8/D8*100,0)</f>
        <v>96.760373702640493</v>
      </c>
      <c r="I8" s="58">
        <f>IFERROR(G8/E8*100,0)</f>
        <v>97.767073620614909</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0</v>
      </c>
      <c r="AF8" s="59">
        <f t="shared" ref="AF8" si="22">AF9+AF10</f>
        <v>35.729999999999997</v>
      </c>
      <c r="AG8" s="59">
        <f t="shared" ref="AG8" si="23">AG9+AG10</f>
        <v>0</v>
      </c>
      <c r="AH8" s="60"/>
    </row>
    <row r="9" spans="1:35" s="22" customFormat="1" ht="57" customHeight="1" x14ac:dyDescent="0.25">
      <c r="A9" s="582"/>
      <c r="B9" s="554"/>
      <c r="C9" s="61" t="s">
        <v>22</v>
      </c>
      <c r="D9" s="62">
        <f>D13</f>
        <v>162.97900000000001</v>
      </c>
      <c r="E9" s="62">
        <f>E13</f>
        <v>114.52200000000002</v>
      </c>
      <c r="F9" s="62">
        <f t="shared" ref="F9:AG9" si="24">F13</f>
        <v>99.58</v>
      </c>
      <c r="G9" s="62">
        <f t="shared" si="24"/>
        <v>99.58</v>
      </c>
      <c r="H9" s="62">
        <f t="shared" ref="H9:H10" si="25">IFERROR(G9/D9*100,0)</f>
        <v>61.099896305659009</v>
      </c>
      <c r="I9" s="62">
        <f t="shared" ref="I9:I10" si="26">IFERROR(G9/E9*100,0)</f>
        <v>86.952725240565115</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0</v>
      </c>
      <c r="AF9" s="62">
        <f t="shared" si="24"/>
        <v>35.729999999999997</v>
      </c>
      <c r="AG9" s="62">
        <f t="shared" si="24"/>
        <v>0</v>
      </c>
      <c r="AH9" s="64"/>
    </row>
    <row r="10" spans="1:35" s="22" customFormat="1" ht="38.25" customHeight="1" x14ac:dyDescent="0.25">
      <c r="A10" s="582"/>
      <c r="B10" s="554"/>
      <c r="C10" s="61" t="s">
        <v>21</v>
      </c>
      <c r="D10" s="62">
        <f>D15</f>
        <v>4717.8</v>
      </c>
      <c r="E10" s="62">
        <f t="shared" ref="E10:J10" si="27">E15</f>
        <v>4716</v>
      </c>
      <c r="F10" s="62">
        <f t="shared" si="27"/>
        <v>4623.08</v>
      </c>
      <c r="G10" s="62">
        <f t="shared" si="27"/>
        <v>4623.08</v>
      </c>
      <c r="H10" s="62">
        <f t="shared" si="25"/>
        <v>97.992284539403954</v>
      </c>
      <c r="I10" s="62">
        <f t="shared" si="26"/>
        <v>98.029686174724333</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511" t="s">
        <v>46</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64"/>
    </row>
    <row r="12" spans="1:35" s="21" customFormat="1" ht="88.5" customHeight="1" x14ac:dyDescent="0.25">
      <c r="A12" s="581" t="s">
        <v>37</v>
      </c>
      <c r="B12" s="553" t="s">
        <v>47</v>
      </c>
      <c r="C12" s="57" t="s">
        <v>20</v>
      </c>
      <c r="D12" s="58">
        <f>D13</f>
        <v>162.97900000000001</v>
      </c>
      <c r="E12" s="58">
        <f>E13</f>
        <v>114.52200000000002</v>
      </c>
      <c r="F12" s="58">
        <f t="shared" ref="F12" si="29">F13</f>
        <v>99.58</v>
      </c>
      <c r="G12" s="58">
        <f>G13</f>
        <v>99.58</v>
      </c>
      <c r="H12" s="58">
        <f>IFERROR(G12/D12*100,0)</f>
        <v>61.099896305659009</v>
      </c>
      <c r="I12" s="58">
        <f>IFERROR(G12/E12*100,0)</f>
        <v>86.952725240565115</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0</v>
      </c>
      <c r="AF12" s="59">
        <f t="shared" si="30"/>
        <v>35.729999999999997</v>
      </c>
      <c r="AG12" s="59">
        <f t="shared" si="30"/>
        <v>0</v>
      </c>
      <c r="AH12" s="60"/>
      <c r="AI12" s="23"/>
    </row>
    <row r="13" spans="1:35" s="21" customFormat="1" ht="105.75" customHeight="1" x14ac:dyDescent="0.25">
      <c r="A13" s="582"/>
      <c r="B13" s="554"/>
      <c r="C13" s="61" t="s">
        <v>22</v>
      </c>
      <c r="D13" s="62">
        <f>SUM(J13,L13,N13,P13,R13,T13,V13,X13,Z13,AB13,AD13,AF13)</f>
        <v>162.97900000000001</v>
      </c>
      <c r="E13" s="62">
        <f>J13+L13+N13+P13+R13+T13+V13+X13+Z13+AB13</f>
        <v>114.52200000000002</v>
      </c>
      <c r="F13" s="62">
        <f>G13</f>
        <v>99.58</v>
      </c>
      <c r="G13" s="62">
        <f>SUM(K13,M13,O13,Q13,S13,U13,W13,Y13,AA13,AC13,AE13,AG13)</f>
        <v>99.58</v>
      </c>
      <c r="H13" s="62">
        <f>IFERROR(G13/D13*100,0)</f>
        <v>61.099896305659009</v>
      </c>
      <c r="I13" s="62">
        <f>IFERROR(G13/E13*100,0)</f>
        <v>86.952725240565115</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0</v>
      </c>
      <c r="AF13" s="63">
        <v>35.729999999999997</v>
      </c>
      <c r="AG13" s="63">
        <v>0</v>
      </c>
      <c r="AH13" s="479" t="s">
        <v>421</v>
      </c>
      <c r="AI13" s="23"/>
    </row>
    <row r="14" spans="1:35" s="21" customFormat="1" ht="339" customHeight="1" x14ac:dyDescent="0.25">
      <c r="A14" s="581" t="s">
        <v>38</v>
      </c>
      <c r="B14" s="553" t="s">
        <v>48</v>
      </c>
      <c r="C14" s="57" t="s">
        <v>20</v>
      </c>
      <c r="D14" s="58">
        <f>D15</f>
        <v>4717.8</v>
      </c>
      <c r="E14" s="58">
        <f t="shared" ref="E14:G14" si="31">E15</f>
        <v>4716</v>
      </c>
      <c r="F14" s="58">
        <f t="shared" si="31"/>
        <v>4623.08</v>
      </c>
      <c r="G14" s="58">
        <f t="shared" si="31"/>
        <v>4623.08</v>
      </c>
      <c r="H14" s="58">
        <f>IFERROR(G14/D14*100,0)</f>
        <v>97.992284539403954</v>
      </c>
      <c r="I14" s="58">
        <f>IFERROR(G14/E14*100,0)</f>
        <v>98.029686174724333</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420</v>
      </c>
      <c r="AI14" s="20"/>
    </row>
    <row r="15" spans="1:35" s="22" customFormat="1" ht="73.5" customHeight="1" x14ac:dyDescent="0.25">
      <c r="A15" s="583"/>
      <c r="B15" s="555"/>
      <c r="C15" s="61" t="s">
        <v>21</v>
      </c>
      <c r="D15" s="62">
        <f>SUM(J15,L15,N15,P15,R15,T15,V15,X15,Z15,AB15,AD15,AF15)</f>
        <v>4717.8</v>
      </c>
      <c r="E15" s="62">
        <f>J15+L15+N15+P15+R15+T15+V15+X15+Z15+AB15</f>
        <v>4716</v>
      </c>
      <c r="F15" s="62">
        <f>G15</f>
        <v>4623.08</v>
      </c>
      <c r="G15" s="62">
        <f>SUM(K15,M15,O15,Q15,S15,U15,W15,Y15,AA15,AC15,AE15,AG15)</f>
        <v>4623.08</v>
      </c>
      <c r="H15" s="62">
        <f>IFERROR(G15/D15*100,0)</f>
        <v>97.992284539403954</v>
      </c>
      <c r="I15" s="62">
        <f>IFERROR(G15/E15*100,0)</f>
        <v>98.029686174724333</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B686A221-D885-4536-BEAC-E7F4BBC02150}" scale="80">
      <pane xSplit="6" ySplit="7" topLeftCell="G8" activePane="bottomRight" state="frozen"/>
      <selection pane="bottomRight" activeCell="E16" sqref="E16"/>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F528EF6A-C113-49B5-B25F-D660F898CBFB}" scale="60">
      <pane xSplit="6" ySplit="7" topLeftCell="G12" activePane="bottomRight" state="frozen"/>
      <selection pane="bottomRight" activeCell="E16" sqref="E16"/>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85"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82"/>
      <c r="X1" s="5"/>
      <c r="Y1" s="5"/>
      <c r="Z1" s="5"/>
      <c r="AA1" s="5"/>
      <c r="AB1" s="5"/>
      <c r="AC1" s="5"/>
      <c r="AD1" s="96"/>
      <c r="AE1" s="96"/>
      <c r="AF1" s="96"/>
      <c r="AG1" s="3"/>
      <c r="AH1" s="3"/>
    </row>
    <row r="2" spans="1:35" x14ac:dyDescent="0.25">
      <c r="C2" s="566" t="s">
        <v>24</v>
      </c>
      <c r="D2" s="566"/>
      <c r="E2" s="566"/>
      <c r="F2" s="566"/>
      <c r="G2" s="566"/>
      <c r="H2" s="566"/>
      <c r="I2" s="566"/>
      <c r="J2" s="566"/>
      <c r="K2" s="566"/>
      <c r="L2" s="566"/>
      <c r="M2" s="566"/>
      <c r="N2" s="566"/>
      <c r="O2" s="566"/>
      <c r="P2" s="566"/>
      <c r="Q2" s="566"/>
      <c r="R2" s="566"/>
      <c r="S2" s="566"/>
      <c r="T2" s="93"/>
      <c r="U2" s="93"/>
      <c r="V2" s="93"/>
      <c r="W2" s="383"/>
      <c r="X2" s="93"/>
      <c r="Y2" s="93"/>
      <c r="Z2" s="93"/>
      <c r="AA2" s="93"/>
      <c r="AB2" s="93"/>
      <c r="AC2" s="93"/>
      <c r="AD2" s="93"/>
      <c r="AE2" s="93"/>
      <c r="AF2" s="93"/>
      <c r="AG2" s="93"/>
      <c r="AH2" s="93"/>
    </row>
    <row r="3" spans="1:35" ht="36.75" customHeight="1" x14ac:dyDescent="0.25">
      <c r="C3" s="566" t="s">
        <v>25</v>
      </c>
      <c r="D3" s="566"/>
      <c r="E3" s="566"/>
      <c r="F3" s="566"/>
      <c r="G3" s="566"/>
      <c r="H3" s="566"/>
      <c r="I3" s="566"/>
      <c r="J3" s="566"/>
      <c r="K3" s="566"/>
      <c r="L3" s="566"/>
      <c r="M3" s="566"/>
      <c r="N3" s="566"/>
      <c r="O3" s="566"/>
      <c r="P3" s="566"/>
      <c r="Q3" s="566"/>
      <c r="R3" s="566"/>
      <c r="S3" s="566"/>
      <c r="T3" s="94"/>
      <c r="U3" s="94"/>
      <c r="V3" s="94"/>
      <c r="W3" s="384"/>
      <c r="X3" s="94"/>
      <c r="Y3" s="94"/>
      <c r="Z3" s="94"/>
      <c r="AA3" s="94"/>
      <c r="AB3" s="94"/>
      <c r="AC3" s="94"/>
      <c r="AD3" s="95"/>
      <c r="AE3" s="95"/>
      <c r="AF3" s="95"/>
      <c r="AG3" s="37" t="s">
        <v>0</v>
      </c>
      <c r="AH3" s="95"/>
    </row>
    <row r="4" spans="1:35" s="33"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33" customFormat="1" ht="64.5" customHeight="1" x14ac:dyDescent="0.25">
      <c r="A6" s="570"/>
      <c r="B6" s="573"/>
      <c r="C6" s="573"/>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55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53" t="s">
        <v>23</v>
      </c>
      <c r="C8" s="97" t="s">
        <v>20</v>
      </c>
      <c r="D8" s="98">
        <f>SUM(D9:D9)</f>
        <v>36061.004000000001</v>
      </c>
      <c r="E8" s="98">
        <f>SUM(E9:E9)</f>
        <v>27659.096999999998</v>
      </c>
      <c r="F8" s="98">
        <f>SUM(F9:F9)</f>
        <v>26590.747000000003</v>
      </c>
      <c r="G8" s="98">
        <f>SUM(G9:G9)</f>
        <v>26590.747000000003</v>
      </c>
      <c r="H8" s="98">
        <f>IFERROR(G8/D8*100,0)</f>
        <v>73.738232579436797</v>
      </c>
      <c r="I8" s="98">
        <f>IFERROR(G8/E8*100,0)</f>
        <v>96.1374371694058</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2934.7120000000004</v>
      </c>
      <c r="S8" s="99">
        <f t="shared" si="0"/>
        <v>3158.94</v>
      </c>
      <c r="T8" s="99">
        <f t="shared" si="0"/>
        <v>2112.5889999999999</v>
      </c>
      <c r="U8" s="99">
        <f t="shared" si="0"/>
        <v>3125.48</v>
      </c>
      <c r="V8" s="99">
        <f t="shared" si="0"/>
        <v>3831.5759999999996</v>
      </c>
      <c r="W8" s="110">
        <f t="shared" si="0"/>
        <v>3511</v>
      </c>
      <c r="X8" s="99">
        <f t="shared" si="0"/>
        <v>2767.8269999999998</v>
      </c>
      <c r="Y8" s="99">
        <f t="shared" si="0"/>
        <v>2626.3810000000003</v>
      </c>
      <c r="Z8" s="99">
        <f t="shared" si="0"/>
        <v>2269.8090000000002</v>
      </c>
      <c r="AA8" s="99">
        <f t="shared" si="0"/>
        <v>3561.1089999999999</v>
      </c>
      <c r="AB8" s="99">
        <f t="shared" si="0"/>
        <v>3097.9949999999999</v>
      </c>
      <c r="AC8" s="99">
        <f t="shared" si="0"/>
        <v>0</v>
      </c>
      <c r="AD8" s="99">
        <f t="shared" si="0"/>
        <v>2631.308</v>
      </c>
      <c r="AE8" s="99">
        <f t="shared" si="0"/>
        <v>0</v>
      </c>
      <c r="AF8" s="99">
        <f t="shared" si="0"/>
        <v>2672.6039999999998</v>
      </c>
      <c r="AG8" s="99">
        <f t="shared" si="0"/>
        <v>0</v>
      </c>
      <c r="AH8" s="60"/>
    </row>
    <row r="9" spans="1:35" s="33" customFormat="1" ht="38.25" customHeight="1" x14ac:dyDescent="0.25">
      <c r="A9" s="612"/>
      <c r="B9" s="555"/>
      <c r="C9" s="101" t="s">
        <v>21</v>
      </c>
      <c r="D9" s="102">
        <f>D12+D15</f>
        <v>36061.004000000001</v>
      </c>
      <c r="E9" s="102">
        <f t="shared" ref="E9:G9" si="1">E12+E15</f>
        <v>27659.096999999998</v>
      </c>
      <c r="F9" s="102">
        <f t="shared" si="1"/>
        <v>26590.747000000003</v>
      </c>
      <c r="G9" s="102">
        <f t="shared" si="1"/>
        <v>26590.747000000003</v>
      </c>
      <c r="H9" s="102">
        <f>IFERROR(G9/D9*100,0)</f>
        <v>73.738232579436797</v>
      </c>
      <c r="I9" s="102">
        <f>IFERROR(G9/E9*100,0)</f>
        <v>96.1374371694058</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2934.7120000000004</v>
      </c>
      <c r="S9" s="103">
        <f t="shared" si="2"/>
        <v>3158.94</v>
      </c>
      <c r="T9" s="103">
        <f t="shared" si="2"/>
        <v>2112.5889999999999</v>
      </c>
      <c r="U9" s="103">
        <f t="shared" si="2"/>
        <v>3125.48</v>
      </c>
      <c r="V9" s="103">
        <f t="shared" si="2"/>
        <v>3831.5759999999996</v>
      </c>
      <c r="W9" s="114">
        <f t="shared" si="2"/>
        <v>3511</v>
      </c>
      <c r="X9" s="103">
        <f t="shared" si="2"/>
        <v>2767.8269999999998</v>
      </c>
      <c r="Y9" s="103">
        <f t="shared" si="2"/>
        <v>2626.3810000000003</v>
      </c>
      <c r="Z9" s="103">
        <f t="shared" si="2"/>
        <v>2269.8090000000002</v>
      </c>
      <c r="AA9" s="103">
        <f t="shared" si="2"/>
        <v>3561.1089999999999</v>
      </c>
      <c r="AB9" s="103">
        <f t="shared" si="2"/>
        <v>3097.9949999999999</v>
      </c>
      <c r="AC9" s="103">
        <f t="shared" si="2"/>
        <v>0</v>
      </c>
      <c r="AD9" s="103">
        <f t="shared" si="2"/>
        <v>2631.308</v>
      </c>
      <c r="AE9" s="103">
        <f t="shared" si="2"/>
        <v>0</v>
      </c>
      <c r="AF9" s="103">
        <f t="shared" si="2"/>
        <v>2672.6039999999998</v>
      </c>
      <c r="AG9" s="103">
        <f t="shared" si="2"/>
        <v>0</v>
      </c>
      <c r="AH9" s="64"/>
    </row>
    <row r="10" spans="1:35" s="33" customFormat="1" ht="18.75" customHeight="1" x14ac:dyDescent="0.25">
      <c r="A10" s="104"/>
      <c r="B10" s="511" t="s">
        <v>31</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3"/>
      <c r="AH10" s="64"/>
    </row>
    <row r="11" spans="1:35" s="100" customFormat="1" ht="81.75" customHeight="1" x14ac:dyDescent="0.25">
      <c r="A11" s="519" t="s">
        <v>37</v>
      </c>
      <c r="B11" s="568" t="s">
        <v>33</v>
      </c>
      <c r="C11" s="97" t="s">
        <v>20</v>
      </c>
      <c r="D11" s="98">
        <f>SUM(D12:D12)</f>
        <v>115</v>
      </c>
      <c r="E11" s="98">
        <f>SUM(E12:E12)</f>
        <v>88.709000000000003</v>
      </c>
      <c r="F11" s="98">
        <f>SUM(F12:F12)</f>
        <v>72.25</v>
      </c>
      <c r="G11" s="98">
        <f>SUM(G12:G12)</f>
        <v>72.25</v>
      </c>
      <c r="H11" s="98">
        <f>IFERROR(G11/D11*100,0)</f>
        <v>62.826086956521742</v>
      </c>
      <c r="I11" s="98">
        <f>IFERROR(G11/E11*100,0)</f>
        <v>81.446076497311424</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9.8079999999999998</v>
      </c>
      <c r="V11" s="99">
        <f t="shared" si="3"/>
        <v>11.336</v>
      </c>
      <c r="W11" s="110">
        <f t="shared" si="3"/>
        <v>8.5500000000000007</v>
      </c>
      <c r="X11" s="99">
        <f t="shared" si="3"/>
        <v>15.365</v>
      </c>
      <c r="Y11" s="99">
        <f t="shared" si="3"/>
        <v>14.57</v>
      </c>
      <c r="Z11" s="99">
        <f t="shared" si="3"/>
        <v>12.031000000000001</v>
      </c>
      <c r="AA11" s="99">
        <f t="shared" si="3"/>
        <v>16.015000000000001</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86.25" customHeight="1" x14ac:dyDescent="0.25">
      <c r="A12" s="521"/>
      <c r="B12" s="570"/>
      <c r="C12" s="101" t="s">
        <v>21</v>
      </c>
      <c r="D12" s="102">
        <f>SUM(J12,L12,N12,P12,R12,T12,V12,X12,Z12,AB12,AD12,AF12)</f>
        <v>115</v>
      </c>
      <c r="E12" s="102">
        <f>J12+L12+N12+P12+R12+T12+V12+X12+Z12</f>
        <v>88.709000000000003</v>
      </c>
      <c r="F12" s="102">
        <f>G12</f>
        <v>72.25</v>
      </c>
      <c r="G12" s="102">
        <f>SUM(K12,M12,O12,Q12,S12,U12,W12,Y12,AA12,AC12,AE12,AG12)</f>
        <v>72.25</v>
      </c>
      <c r="H12" s="102">
        <f>IFERROR(G12/D12*100,0)</f>
        <v>62.826086956521742</v>
      </c>
      <c r="I12" s="102">
        <f>IFERROR(G12/E12*100,0)</f>
        <v>81.446076497311424</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9.8079999999999998</v>
      </c>
      <c r="V12" s="103">
        <v>11.336</v>
      </c>
      <c r="W12" s="114">
        <v>8.5500000000000007</v>
      </c>
      <c r="X12" s="103">
        <v>15.365</v>
      </c>
      <c r="Y12" s="103">
        <v>14.57</v>
      </c>
      <c r="Z12" s="103">
        <v>12.031000000000001</v>
      </c>
      <c r="AA12" s="103">
        <v>16.015000000000001</v>
      </c>
      <c r="AB12" s="103">
        <v>13.260999999999999</v>
      </c>
      <c r="AC12" s="103">
        <v>0</v>
      </c>
      <c r="AD12" s="103">
        <v>12.561999999999999</v>
      </c>
      <c r="AE12" s="103">
        <v>0</v>
      </c>
      <c r="AF12" s="103">
        <v>0.46800000000000003</v>
      </c>
      <c r="AG12" s="103">
        <v>0</v>
      </c>
      <c r="AH12" s="64" t="s">
        <v>370</v>
      </c>
      <c r="AI12" s="106"/>
    </row>
    <row r="13" spans="1:35" s="33" customFormat="1" ht="21" customHeight="1" x14ac:dyDescent="0.25">
      <c r="A13" s="107"/>
      <c r="B13" s="511" t="s">
        <v>32</v>
      </c>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3"/>
      <c r="AH13" s="64"/>
      <c r="AI13" s="106"/>
    </row>
    <row r="14" spans="1:35" s="100" customFormat="1" ht="47.25" customHeight="1" x14ac:dyDescent="0.25">
      <c r="A14" s="519" t="s">
        <v>38</v>
      </c>
      <c r="B14" s="568" t="s">
        <v>34</v>
      </c>
      <c r="C14" s="97" t="s">
        <v>20</v>
      </c>
      <c r="D14" s="98">
        <f>SUM(D15:D15)</f>
        <v>35946.004000000001</v>
      </c>
      <c r="E14" s="98">
        <f>SUM(E15:E15)</f>
        <v>27570.387999999999</v>
      </c>
      <c r="F14" s="98">
        <f>SUM(F15:F15)</f>
        <v>26518.497000000003</v>
      </c>
      <c r="G14" s="98">
        <f>SUM(G15:G15)</f>
        <v>26518.497000000003</v>
      </c>
      <c r="H14" s="98">
        <f t="shared" ref="H14:H19" si="4">IFERROR(G14/D14*100,0)</f>
        <v>73.773143184427397</v>
      </c>
      <c r="I14" s="98">
        <f t="shared" ref="I14:I19" si="5">IFERROR(G14/E14*100,0)</f>
        <v>96.184707302632106</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2923.3630000000003</v>
      </c>
      <c r="S14" s="99">
        <f t="shared" si="6"/>
        <v>3158.94</v>
      </c>
      <c r="T14" s="99">
        <f t="shared" si="6"/>
        <v>2102.7339999999999</v>
      </c>
      <c r="U14" s="99">
        <f t="shared" si="6"/>
        <v>3115.672</v>
      </c>
      <c r="V14" s="99">
        <f t="shared" si="6"/>
        <v>3820.24</v>
      </c>
      <c r="W14" s="110">
        <f t="shared" si="6"/>
        <v>3502.45</v>
      </c>
      <c r="X14" s="99">
        <f t="shared" si="6"/>
        <v>2752.462</v>
      </c>
      <c r="Y14" s="99">
        <f t="shared" si="6"/>
        <v>2611.8110000000001</v>
      </c>
      <c r="Z14" s="99">
        <f t="shared" si="6"/>
        <v>2257.7780000000002</v>
      </c>
      <c r="AA14" s="99">
        <f t="shared" si="6"/>
        <v>3545.0940000000001</v>
      </c>
      <c r="AB14" s="99">
        <f t="shared" si="6"/>
        <v>3084.7339999999999</v>
      </c>
      <c r="AC14" s="99">
        <f t="shared" si="6"/>
        <v>0</v>
      </c>
      <c r="AD14" s="99">
        <f t="shared" si="6"/>
        <v>2618.7460000000001</v>
      </c>
      <c r="AE14" s="99">
        <f t="shared" si="6"/>
        <v>0</v>
      </c>
      <c r="AF14" s="99">
        <f t="shared" si="6"/>
        <v>2672.136</v>
      </c>
      <c r="AG14" s="99">
        <f t="shared" si="6"/>
        <v>0</v>
      </c>
      <c r="AH14" s="64" t="s">
        <v>332</v>
      </c>
      <c r="AI14" s="106"/>
    </row>
    <row r="15" spans="1:35" s="33" customFormat="1" ht="42" customHeight="1" x14ac:dyDescent="0.25">
      <c r="A15" s="521"/>
      <c r="B15" s="570"/>
      <c r="C15" s="101" t="s">
        <v>21</v>
      </c>
      <c r="D15" s="102">
        <f>SUM(J15,L15,N15,P15,R15,T15,V15,X15,Z15,AB15,AD15,AF15)</f>
        <v>35946.004000000001</v>
      </c>
      <c r="E15" s="102">
        <f>J15+L15+N15+P15+R15+T15+V15+X15+Z15</f>
        <v>27570.387999999999</v>
      </c>
      <c r="F15" s="102">
        <f>G15</f>
        <v>26518.497000000003</v>
      </c>
      <c r="G15" s="102">
        <f>SUM(K15,M15,O15,Q15,S15,U15,W15,Y15,AA15,AC15,AE15,AG15)</f>
        <v>26518.497000000003</v>
      </c>
      <c r="H15" s="102">
        <f t="shared" si="4"/>
        <v>73.773143184427397</v>
      </c>
      <c r="I15" s="102">
        <f t="shared" si="5"/>
        <v>96.184707302632106</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2923.3630000000003</v>
      </c>
      <c r="S15" s="103">
        <f t="shared" si="7"/>
        <v>3158.94</v>
      </c>
      <c r="T15" s="103">
        <f t="shared" si="7"/>
        <v>2102.7339999999999</v>
      </c>
      <c r="U15" s="103">
        <f t="shared" si="7"/>
        <v>3115.672</v>
      </c>
      <c r="V15" s="103">
        <f t="shared" si="7"/>
        <v>3820.24</v>
      </c>
      <c r="W15" s="114">
        <f t="shared" si="7"/>
        <v>3502.45</v>
      </c>
      <c r="X15" s="103">
        <f t="shared" si="7"/>
        <v>2752.462</v>
      </c>
      <c r="Y15" s="103">
        <f t="shared" si="7"/>
        <v>2611.8110000000001</v>
      </c>
      <c r="Z15" s="103">
        <f t="shared" si="7"/>
        <v>2257.7780000000002</v>
      </c>
      <c r="AA15" s="103">
        <f t="shared" si="7"/>
        <v>3545.0940000000001</v>
      </c>
      <c r="AB15" s="103">
        <f t="shared" si="7"/>
        <v>3084.7339999999999</v>
      </c>
      <c r="AC15" s="103">
        <f t="shared" si="7"/>
        <v>0</v>
      </c>
      <c r="AD15" s="103">
        <f t="shared" si="7"/>
        <v>2618.7460000000001</v>
      </c>
      <c r="AE15" s="103">
        <f t="shared" si="7"/>
        <v>0</v>
      </c>
      <c r="AF15" s="103">
        <f t="shared" si="7"/>
        <v>2672.136</v>
      </c>
      <c r="AG15" s="103">
        <f t="shared" si="7"/>
        <v>0</v>
      </c>
      <c r="AH15" s="64"/>
      <c r="AI15" s="106"/>
    </row>
    <row r="16" spans="1:35" s="100" customFormat="1" ht="34.5" customHeight="1" x14ac:dyDescent="0.25">
      <c r="A16" s="610"/>
      <c r="B16" s="662" t="s">
        <v>35</v>
      </c>
      <c r="C16" s="108" t="s">
        <v>20</v>
      </c>
      <c r="D16" s="109">
        <f>D17</f>
        <v>27692.403999999999</v>
      </c>
      <c r="E16" s="109">
        <f t="shared" ref="E16:G16" si="8">E17</f>
        <v>21123.976999999999</v>
      </c>
      <c r="F16" s="109">
        <f t="shared" si="8"/>
        <v>20242.013999999999</v>
      </c>
      <c r="G16" s="109">
        <f t="shared" si="8"/>
        <v>20242.013999999999</v>
      </c>
      <c r="H16" s="109">
        <f t="shared" si="4"/>
        <v>73.095907455344076</v>
      </c>
      <c r="I16" s="109">
        <f t="shared" si="5"/>
        <v>95.824825031763666</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2378.1779999999999</v>
      </c>
      <c r="AC16" s="110">
        <f t="shared" si="9"/>
        <v>0</v>
      </c>
      <c r="AD16" s="110">
        <f t="shared" si="9"/>
        <v>2020.2840000000001</v>
      </c>
      <c r="AE16" s="110">
        <f t="shared" si="9"/>
        <v>0</v>
      </c>
      <c r="AF16" s="110">
        <f t="shared" si="9"/>
        <v>2169.9650000000001</v>
      </c>
      <c r="AG16" s="110">
        <f t="shared" si="9"/>
        <v>0</v>
      </c>
      <c r="AH16" s="179"/>
      <c r="AI16" s="105"/>
    </row>
    <row r="17" spans="1:35" s="33" customFormat="1" ht="39.75" customHeight="1" x14ac:dyDescent="0.25">
      <c r="A17" s="612"/>
      <c r="B17" s="663"/>
      <c r="C17" s="112" t="s">
        <v>21</v>
      </c>
      <c r="D17" s="113">
        <f>SUM(J17,L17,N17,P17,R17,T17,V17,X17,Z17,AB17,AD17,AF17)</f>
        <v>27692.403999999999</v>
      </c>
      <c r="E17" s="113">
        <f>J17+L17+N17+P17+R17+T17+V17+X17+Z17</f>
        <v>21123.976999999999</v>
      </c>
      <c r="F17" s="113">
        <f>G17</f>
        <v>20242.013999999999</v>
      </c>
      <c r="G17" s="113">
        <f>SUM(K17,M17,O17,Q17,S17,U17,W17,Y17,AA17,AC17,AE17,AG17)</f>
        <v>20242.013999999999</v>
      </c>
      <c r="H17" s="113">
        <f t="shared" si="4"/>
        <v>73.095907455344076</v>
      </c>
      <c r="I17" s="113">
        <f t="shared" si="5"/>
        <v>95.824825031763666</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2378.1779999999999</v>
      </c>
      <c r="AC17" s="114">
        <v>0</v>
      </c>
      <c r="AD17" s="114">
        <v>2020.2840000000001</v>
      </c>
      <c r="AE17" s="114">
        <v>0</v>
      </c>
      <c r="AF17" s="114">
        <v>2169.9650000000001</v>
      </c>
      <c r="AG17" s="114">
        <v>0</v>
      </c>
      <c r="AH17" s="111"/>
      <c r="AI17" s="106"/>
    </row>
    <row r="18" spans="1:35" s="100" customFormat="1" ht="35.25" customHeight="1" x14ac:dyDescent="0.25">
      <c r="A18" s="610"/>
      <c r="B18" s="662" t="s">
        <v>36</v>
      </c>
      <c r="C18" s="108" t="s">
        <v>20</v>
      </c>
      <c r="D18" s="109">
        <f>D19</f>
        <v>8253.6</v>
      </c>
      <c r="E18" s="109">
        <f t="shared" ref="E18:G18" si="10">E19</f>
        <v>6446.4110000000001</v>
      </c>
      <c r="F18" s="109">
        <f t="shared" si="10"/>
        <v>6276.4830000000002</v>
      </c>
      <c r="G18" s="109">
        <f t="shared" si="10"/>
        <v>6276.4830000000002</v>
      </c>
      <c r="H18" s="109">
        <f t="shared" si="4"/>
        <v>76.045398371619655</v>
      </c>
      <c r="I18" s="109">
        <f t="shared" si="5"/>
        <v>97.363990598799859</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0</v>
      </c>
      <c r="AD18" s="110">
        <f t="shared" si="11"/>
        <v>598.46199999999999</v>
      </c>
      <c r="AE18" s="110">
        <f t="shared" si="11"/>
        <v>0</v>
      </c>
      <c r="AF18" s="110">
        <f t="shared" si="11"/>
        <v>502.17099999999999</v>
      </c>
      <c r="AG18" s="110">
        <f t="shared" si="11"/>
        <v>0</v>
      </c>
      <c r="AH18" s="180"/>
      <c r="AI18" s="105"/>
    </row>
    <row r="19" spans="1:35" s="33" customFormat="1" ht="40.5" customHeight="1" x14ac:dyDescent="0.25">
      <c r="A19" s="612"/>
      <c r="B19" s="663"/>
      <c r="C19" s="112" t="s">
        <v>21</v>
      </c>
      <c r="D19" s="113">
        <f>SUM(J19,L19,N19,P19,R19,T19,V19,X19,Z19,AB19,AD19,AF19)</f>
        <v>8253.6</v>
      </c>
      <c r="E19" s="113">
        <f>J19+L19+N19+P19+R19+T19+V19+X19+Z19</f>
        <v>6446.4110000000001</v>
      </c>
      <c r="F19" s="113">
        <f>G19</f>
        <v>6276.4830000000002</v>
      </c>
      <c r="G19" s="113">
        <f>SUM(K19,M19,O19,Q19,S19,U19,W19,Y19,AA19,AC19,AE19,AG19)</f>
        <v>6276.4830000000002</v>
      </c>
      <c r="H19" s="113">
        <f t="shared" si="4"/>
        <v>76.045398371619655</v>
      </c>
      <c r="I19" s="113">
        <f t="shared" si="5"/>
        <v>97.363990598799859</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0</v>
      </c>
      <c r="AD19" s="114">
        <v>598.46199999999999</v>
      </c>
      <c r="AE19" s="114">
        <v>0</v>
      </c>
      <c r="AF19" s="114">
        <v>502.17099999999999</v>
      </c>
      <c r="AG19" s="114">
        <v>0</v>
      </c>
      <c r="AH19" s="111"/>
      <c r="AI19"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B686A221-D885-4536-BEAC-E7F4BBC02150}"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21E1D423-7B38-4272-8354-09B4DB62C9EB}" scale="80">
      <pane xSplit="6" ySplit="7" topLeftCell="G8" activePane="bottomRight" state="frozen"/>
      <selection pane="bottomRight" activeCell="AA20" sqref="AA20"/>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s>
  <mergeCells count="35">
    <mergeCell ref="AH4:AH6"/>
    <mergeCell ref="C2:S2"/>
    <mergeCell ref="C3:S3"/>
    <mergeCell ref="C4:C6"/>
    <mergeCell ref="D4:D5"/>
    <mergeCell ref="E4:E5"/>
    <mergeCell ref="F4:F5"/>
    <mergeCell ref="G4:G5"/>
    <mergeCell ref="H4:I5"/>
    <mergeCell ref="J4:K5"/>
    <mergeCell ref="L4:M5"/>
    <mergeCell ref="N4:O5"/>
    <mergeCell ref="P4:Q5"/>
    <mergeCell ref="R4:S5"/>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B16:B17"/>
    <mergeCell ref="A16:A17"/>
    <mergeCell ref="B18:B19"/>
    <mergeCell ref="A18:A19"/>
    <mergeCell ref="B11:B12"/>
    <mergeCell ref="A11: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55"/>
      <c r="C3" s="567" t="s">
        <v>109</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559"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557"/>
      <c r="B9" s="560"/>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557"/>
      <c r="B10" s="560"/>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558"/>
      <c r="B11" s="561"/>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511" t="s">
        <v>84</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46"/>
    </row>
    <row r="13" spans="1:35" s="21" customFormat="1" ht="109.5" customHeight="1" x14ac:dyDescent="0.25">
      <c r="A13" s="519" t="s">
        <v>37</v>
      </c>
      <c r="B13" s="559"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520"/>
      <c r="B14" s="560"/>
      <c r="C14" s="428"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520"/>
      <c r="B15" s="560"/>
      <c r="C15" s="428"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521"/>
      <c r="B16" s="561"/>
      <c r="C16" s="428"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96" t="s">
        <v>85</v>
      </c>
      <c r="C17" s="597"/>
      <c r="D17" s="597"/>
      <c r="E17" s="597"/>
      <c r="F17" s="597"/>
      <c r="G17" s="597"/>
      <c r="H17" s="597"/>
      <c r="I17" s="597"/>
      <c r="J17" s="597"/>
      <c r="K17" s="597"/>
      <c r="L17" s="597"/>
      <c r="M17" s="597"/>
      <c r="N17" s="597"/>
      <c r="O17" s="597"/>
      <c r="P17" s="597"/>
      <c r="Q17" s="597"/>
      <c r="R17" s="597"/>
      <c r="S17" s="597"/>
      <c r="T17" s="597"/>
      <c r="U17" s="597"/>
      <c r="V17" s="597"/>
      <c r="W17" s="597"/>
      <c r="X17" s="597"/>
      <c r="Y17" s="597"/>
      <c r="Z17" s="597"/>
      <c r="AA17" s="597"/>
      <c r="AB17" s="597"/>
      <c r="AC17" s="597"/>
      <c r="AD17" s="597"/>
      <c r="AE17" s="597"/>
      <c r="AF17" s="597"/>
      <c r="AG17" s="598"/>
      <c r="AH17" s="46"/>
      <c r="AI17" s="20"/>
    </row>
    <row r="18" spans="1:35" s="21" customFormat="1" ht="31.5" customHeight="1" x14ac:dyDescent="0.25">
      <c r="A18" s="519" t="s">
        <v>86</v>
      </c>
      <c r="B18" s="559"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520"/>
      <c r="B19" s="560"/>
      <c r="C19" s="428"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520"/>
      <c r="B20" s="560"/>
      <c r="C20" s="428"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521"/>
      <c r="B21" s="561"/>
      <c r="C21" s="428"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547" t="s">
        <v>38</v>
      </c>
      <c r="B22" s="559"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548"/>
      <c r="B23" s="560"/>
      <c r="C23" s="426"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548"/>
      <c r="B24" s="560"/>
      <c r="C24" s="426"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593"/>
      <c r="B25" s="561"/>
      <c r="C25" s="426"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531" t="s">
        <v>99</v>
      </c>
      <c r="B26" s="545"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532"/>
      <c r="B27" s="546"/>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533"/>
      <c r="B28" s="546"/>
      <c r="C28" s="61" t="s">
        <v>40</v>
      </c>
      <c r="D28" s="427">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533" t="s">
        <v>98</v>
      </c>
      <c r="B29" s="516"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533"/>
      <c r="B30" s="517"/>
      <c r="C30" s="429"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540"/>
      <c r="B31" s="517"/>
      <c r="C31" s="429"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664" t="s">
        <v>97</v>
      </c>
      <c r="B32" s="516"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533"/>
      <c r="B33" s="517"/>
      <c r="C33" s="429"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540"/>
      <c r="B34" s="517"/>
      <c r="C34" s="429"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665" t="s">
        <v>100</v>
      </c>
      <c r="B35" s="516"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533"/>
      <c r="B36" s="517"/>
      <c r="C36" s="429"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540"/>
      <c r="B37" s="517"/>
      <c r="C37" s="429"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665" t="s">
        <v>101</v>
      </c>
      <c r="B38" s="516"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533"/>
      <c r="B39" s="517"/>
      <c r="C39" s="429"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540"/>
      <c r="B40" s="517"/>
      <c r="C40" s="429"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96" t="s">
        <v>88</v>
      </c>
      <c r="C41" s="597"/>
      <c r="D41" s="597"/>
      <c r="E41" s="597"/>
      <c r="F41" s="597"/>
      <c r="G41" s="597"/>
      <c r="H41" s="597"/>
      <c r="I41" s="597"/>
      <c r="J41" s="597"/>
      <c r="K41" s="597"/>
      <c r="L41" s="597"/>
      <c r="M41" s="597"/>
      <c r="N41" s="597"/>
      <c r="O41" s="597"/>
      <c r="P41" s="597"/>
      <c r="Q41" s="597"/>
      <c r="R41" s="597"/>
      <c r="S41" s="597"/>
      <c r="T41" s="597"/>
      <c r="U41" s="597"/>
      <c r="V41" s="597"/>
      <c r="W41" s="597"/>
      <c r="X41" s="597"/>
      <c r="Y41" s="597"/>
      <c r="Z41" s="597"/>
      <c r="AA41" s="597"/>
      <c r="AB41" s="597"/>
      <c r="AC41" s="597"/>
      <c r="AD41" s="597"/>
      <c r="AE41" s="597"/>
      <c r="AF41" s="597"/>
      <c r="AG41" s="598"/>
      <c r="AH41" s="48"/>
      <c r="AI41" s="20"/>
    </row>
    <row r="42" spans="1:35" s="22" customFormat="1" ht="44.25" customHeight="1" x14ac:dyDescent="0.25">
      <c r="A42" s="547" t="s">
        <v>63</v>
      </c>
      <c r="B42" s="559"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548"/>
      <c r="B43" s="560"/>
      <c r="C43" s="429"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593"/>
      <c r="B44" s="561"/>
      <c r="C44" s="429"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133BB3F8-8DD4-4AEF-8CD6-A5FB14681329}" scale="80" hiddenRows="1" state="hidden">
      <pane xSplit="6" ySplit="7" topLeftCell="G10" activePane="bottomRight" state="frozen"/>
      <selection pane="bottomRight" activeCell="F6" sqref="F6"/>
      <pageMargins left="0.7" right="0.7" top="0.75" bottom="0.75" header="0.3" footer="0.3"/>
      <pageSetup paperSize="9" orientation="portrait" r:id="rId1"/>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3"/>
    </customSheetView>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10"/>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13"/>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1"/>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24"/>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25"/>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27"/>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A32:A34"/>
    <mergeCell ref="B32:B34"/>
    <mergeCell ref="B41:AG41"/>
    <mergeCell ref="A42:A44"/>
    <mergeCell ref="B42:B44"/>
    <mergeCell ref="A35:A37"/>
    <mergeCell ref="B35:B37"/>
    <mergeCell ref="A38:A40"/>
    <mergeCell ref="B38:B40"/>
    <mergeCell ref="B17:AG17"/>
    <mergeCell ref="A26:A28"/>
    <mergeCell ref="B26:B28"/>
    <mergeCell ref="A29:A31"/>
    <mergeCell ref="B29:B31"/>
    <mergeCell ref="A18:A21"/>
    <mergeCell ref="B18:B21"/>
    <mergeCell ref="A22:A25"/>
    <mergeCell ref="B22:B2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566" t="s">
        <v>24</v>
      </c>
      <c r="D2" s="566"/>
      <c r="E2" s="566"/>
      <c r="F2" s="566"/>
      <c r="G2" s="566"/>
      <c r="H2" s="566"/>
      <c r="I2" s="566"/>
      <c r="J2" s="566"/>
      <c r="K2" s="566"/>
      <c r="L2" s="566"/>
      <c r="M2" s="566"/>
      <c r="N2" s="566"/>
      <c r="O2" s="566"/>
      <c r="P2" s="566"/>
      <c r="Q2" s="566"/>
      <c r="R2" s="566"/>
      <c r="S2" s="566"/>
      <c r="T2" s="93"/>
      <c r="U2" s="93"/>
      <c r="V2" s="93"/>
      <c r="W2" s="93"/>
      <c r="X2" s="93"/>
      <c r="Y2" s="93"/>
      <c r="Z2" s="93"/>
      <c r="AA2" s="93"/>
      <c r="AB2" s="93"/>
      <c r="AC2" s="93"/>
      <c r="AD2" s="93"/>
      <c r="AE2" s="93"/>
      <c r="AF2" s="93"/>
      <c r="AG2" s="93"/>
      <c r="AH2" s="93"/>
    </row>
    <row r="3" spans="1:35" ht="36.75" customHeight="1" x14ac:dyDescent="0.25">
      <c r="C3" s="566" t="s">
        <v>167</v>
      </c>
      <c r="D3" s="566"/>
      <c r="E3" s="566"/>
      <c r="F3" s="566"/>
      <c r="G3" s="566"/>
      <c r="H3" s="566"/>
      <c r="I3" s="566"/>
      <c r="J3" s="566"/>
      <c r="K3" s="566"/>
      <c r="L3" s="566"/>
      <c r="M3" s="566"/>
      <c r="N3" s="566"/>
      <c r="O3" s="566"/>
      <c r="P3" s="566"/>
      <c r="Q3" s="566"/>
      <c r="R3" s="566"/>
      <c r="S3" s="566"/>
      <c r="T3" s="94"/>
      <c r="U3" s="94"/>
      <c r="V3" s="94"/>
      <c r="W3" s="94"/>
      <c r="X3" s="94"/>
      <c r="Y3" s="94"/>
      <c r="Z3" s="94"/>
      <c r="AA3" s="94"/>
      <c r="AB3" s="94"/>
      <c r="AC3" s="94"/>
      <c r="AD3" s="95"/>
      <c r="AE3" s="95"/>
      <c r="AF3" s="95"/>
      <c r="AG3" s="37" t="s">
        <v>0</v>
      </c>
      <c r="AH3" s="95"/>
    </row>
    <row r="4" spans="1:35" s="33" customFormat="1" ht="15" customHeight="1" x14ac:dyDescent="0.25">
      <c r="A4" s="568" t="s">
        <v>26</v>
      </c>
      <c r="B4" s="571" t="s">
        <v>29</v>
      </c>
      <c r="C4" s="571" t="s">
        <v>30</v>
      </c>
      <c r="D4" s="579" t="s">
        <v>1</v>
      </c>
      <c r="E4" s="579" t="s">
        <v>1</v>
      </c>
      <c r="F4" s="579" t="s">
        <v>2</v>
      </c>
      <c r="G4" s="579" t="s">
        <v>3</v>
      </c>
      <c r="H4" s="562" t="s">
        <v>4</v>
      </c>
      <c r="I4" s="563"/>
      <c r="J4" s="666" t="s">
        <v>5</v>
      </c>
      <c r="K4" s="667"/>
      <c r="L4" s="666" t="s">
        <v>6</v>
      </c>
      <c r="M4" s="667"/>
      <c r="N4" s="666" t="s">
        <v>7</v>
      </c>
      <c r="O4" s="667"/>
      <c r="P4" s="666" t="s">
        <v>8</v>
      </c>
      <c r="Q4" s="667"/>
      <c r="R4" s="666" t="s">
        <v>9</v>
      </c>
      <c r="S4" s="667"/>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80"/>
      <c r="E5" s="580"/>
      <c r="F5" s="580"/>
      <c r="G5" s="580"/>
      <c r="H5" s="564"/>
      <c r="I5" s="565"/>
      <c r="J5" s="668"/>
      <c r="K5" s="669"/>
      <c r="L5" s="668"/>
      <c r="M5" s="669"/>
      <c r="N5" s="668"/>
      <c r="O5" s="669"/>
      <c r="P5" s="668"/>
      <c r="Q5" s="669"/>
      <c r="R5" s="668"/>
      <c r="S5" s="669"/>
      <c r="T5" s="564"/>
      <c r="U5" s="565"/>
      <c r="V5" s="564"/>
      <c r="W5" s="565"/>
      <c r="X5" s="564"/>
      <c r="Y5" s="565"/>
      <c r="Z5" s="564"/>
      <c r="AA5" s="565"/>
      <c r="AB5" s="564"/>
      <c r="AC5" s="565"/>
      <c r="AD5" s="564"/>
      <c r="AE5" s="565"/>
      <c r="AF5" s="564"/>
      <c r="AG5" s="565"/>
      <c r="AH5" s="554"/>
    </row>
    <row r="6" spans="1:35" s="33" customFormat="1" ht="64.5" customHeight="1" x14ac:dyDescent="0.25">
      <c r="A6" s="570"/>
      <c r="B6" s="573"/>
      <c r="C6" s="573"/>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53" t="s">
        <v>23</v>
      </c>
      <c r="C8" s="97" t="s">
        <v>20</v>
      </c>
      <c r="D8" s="98">
        <f>SUM(D9:D9)</f>
        <v>55932.299999999988</v>
      </c>
      <c r="E8" s="98">
        <f>SUM(E9:E9)</f>
        <v>34612.659999999996</v>
      </c>
      <c r="F8" s="98">
        <f>SUM(F9:F9)</f>
        <v>31909.390000000003</v>
      </c>
      <c r="G8" s="34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612"/>
      <c r="B9" s="555"/>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511" t="s">
        <v>168</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3"/>
      <c r="AH10" s="64"/>
      <c r="AI10" s="106"/>
    </row>
    <row r="11" spans="1:35" s="100" customFormat="1" ht="43.5" customHeight="1" x14ac:dyDescent="0.25">
      <c r="A11" s="519" t="s">
        <v>169</v>
      </c>
      <c r="B11" s="571"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521"/>
      <c r="B12" s="573"/>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2">
        <f t="shared" ref="J12:AF12" si="3">J14</f>
        <v>7088.74</v>
      </c>
      <c r="K12" s="182">
        <f t="shared" si="3"/>
        <v>4289.4799999999996</v>
      </c>
      <c r="L12" s="182">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610"/>
      <c r="B13" s="670"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612"/>
      <c r="B14" s="671"/>
      <c r="C14" s="112" t="s">
        <v>21</v>
      </c>
      <c r="D14" s="181">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2">
        <v>7088.74</v>
      </c>
      <c r="K14" s="182">
        <v>4289.4799999999996</v>
      </c>
      <c r="L14" s="182">
        <v>3533.8</v>
      </c>
      <c r="M14" s="182">
        <v>5094.54</v>
      </c>
      <c r="N14" s="182">
        <v>3048.6</v>
      </c>
      <c r="O14" s="182">
        <v>3732.34</v>
      </c>
      <c r="P14" s="182">
        <v>5336.32</v>
      </c>
      <c r="Q14" s="182">
        <v>4872.3999999999996</v>
      </c>
      <c r="R14" s="182">
        <v>5115.4399999999996</v>
      </c>
      <c r="S14" s="182">
        <v>2881.13</v>
      </c>
      <c r="T14" s="182">
        <v>4906.1099999999997</v>
      </c>
      <c r="U14" s="182">
        <v>5236.6099999999997</v>
      </c>
      <c r="V14" s="182">
        <v>5583.65</v>
      </c>
      <c r="W14" s="182">
        <v>5802.89</v>
      </c>
      <c r="X14" s="182">
        <v>4692.93</v>
      </c>
      <c r="Y14" s="182">
        <v>0</v>
      </c>
      <c r="Z14" s="182">
        <v>3476</v>
      </c>
      <c r="AA14" s="182">
        <v>0</v>
      </c>
      <c r="AB14" s="182">
        <v>3645.6</v>
      </c>
      <c r="AC14" s="182">
        <v>0</v>
      </c>
      <c r="AD14" s="182">
        <v>3710.7</v>
      </c>
      <c r="AE14" s="182">
        <v>0</v>
      </c>
      <c r="AF14" s="182">
        <v>5794.41</v>
      </c>
      <c r="AG14" s="114">
        <v>0</v>
      </c>
      <c r="AH14" s="111"/>
      <c r="AI14" s="106"/>
    </row>
    <row r="19" spans="11:11" x14ac:dyDescent="0.25">
      <c r="K19" s="13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3"/>
    </customSheetView>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4"/>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5"/>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6"/>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7"/>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8"/>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9"/>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10"/>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11"/>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6"/>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7"/>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1"/>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22"/>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24"/>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25"/>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6"/>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27"/>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28"/>
    </customSheetView>
  </customSheetViews>
  <mergeCells count="30">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27" customHeight="1" x14ac:dyDescent="0.25">
      <c r="A3" s="55"/>
      <c r="B3" s="55"/>
      <c r="C3" s="567" t="s">
        <v>299</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6"/>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672" t="s">
        <v>23</v>
      </c>
      <c r="C8" s="188" t="s">
        <v>20</v>
      </c>
      <c r="D8" s="189">
        <f>D9+D10</f>
        <v>134039.603</v>
      </c>
      <c r="E8" s="189">
        <f>E10+E9</f>
        <v>111709.57400000001</v>
      </c>
      <c r="F8" s="189">
        <f>F10+F9</f>
        <v>104759.69799999999</v>
      </c>
      <c r="G8" s="189">
        <f t="shared" ref="G8" si="0">G10+G9</f>
        <v>104759.69799999999</v>
      </c>
      <c r="H8" s="189">
        <f>IFERROR(G8/D8*100,0)</f>
        <v>78.155780571806062</v>
      </c>
      <c r="I8" s="189">
        <f>IFERROR(G8/E8*100,0)</f>
        <v>93.778620980149825</v>
      </c>
      <c r="J8" s="190">
        <f>J9+J10</f>
        <v>19836.083000000002</v>
      </c>
      <c r="K8" s="190">
        <f t="shared" ref="K8:AG8" si="1">K9+K10</f>
        <v>16477.845999999998</v>
      </c>
      <c r="L8" s="190">
        <f t="shared" si="1"/>
        <v>12187.647999999999</v>
      </c>
      <c r="M8" s="190">
        <f t="shared" si="1"/>
        <v>11974.710999999999</v>
      </c>
      <c r="N8" s="190">
        <f t="shared" si="1"/>
        <v>12075.3</v>
      </c>
      <c r="O8" s="190">
        <f t="shared" si="1"/>
        <v>12217.707999999999</v>
      </c>
      <c r="P8" s="190">
        <f t="shared" si="1"/>
        <v>12802.409</v>
      </c>
      <c r="Q8" s="190">
        <f t="shared" si="1"/>
        <v>10583.574000000001</v>
      </c>
      <c r="R8" s="190">
        <f t="shared" si="1"/>
        <v>9194.3680000000004</v>
      </c>
      <c r="S8" s="190">
        <f t="shared" si="1"/>
        <v>7692.5949999999993</v>
      </c>
      <c r="T8" s="190">
        <f t="shared" si="1"/>
        <v>6838.0249999999996</v>
      </c>
      <c r="U8" s="190">
        <f t="shared" si="1"/>
        <v>8418.5339999999997</v>
      </c>
      <c r="V8" s="190">
        <f t="shared" si="1"/>
        <v>12701.088999999998</v>
      </c>
      <c r="W8" s="190">
        <f t="shared" si="1"/>
        <v>11875.699000000001</v>
      </c>
      <c r="X8" s="190">
        <f t="shared" si="1"/>
        <v>9760.0920000000006</v>
      </c>
      <c r="Y8" s="190">
        <f t="shared" si="1"/>
        <v>9139.01</v>
      </c>
      <c r="Z8" s="190">
        <f t="shared" si="1"/>
        <v>8797.0319999999992</v>
      </c>
      <c r="AA8" s="190">
        <f t="shared" si="1"/>
        <v>10007.205</v>
      </c>
      <c r="AB8" s="190">
        <f t="shared" si="1"/>
        <v>7517.5280000000002</v>
      </c>
      <c r="AC8" s="190">
        <f t="shared" si="1"/>
        <v>6372.8159999999998</v>
      </c>
      <c r="AD8" s="190">
        <f t="shared" si="1"/>
        <v>8054.75</v>
      </c>
      <c r="AE8" s="190">
        <f t="shared" si="1"/>
        <v>0</v>
      </c>
      <c r="AF8" s="190">
        <f t="shared" si="1"/>
        <v>14275.278999999999</v>
      </c>
      <c r="AG8" s="190">
        <f t="shared" si="1"/>
        <v>0</v>
      </c>
      <c r="AH8" s="72"/>
    </row>
    <row r="9" spans="1:35" s="26" customFormat="1" ht="40.5" customHeight="1" x14ac:dyDescent="0.25">
      <c r="A9" s="557"/>
      <c r="B9" s="673"/>
      <c r="C9" s="374" t="s">
        <v>369</v>
      </c>
      <c r="D9" s="192">
        <f>J9+L9+N9+P9+R9+T9+V9+X9+Z9+AB9+AD9+AF9</f>
        <v>133611.603</v>
      </c>
      <c r="E9" s="192">
        <f>J9+L9+N9+P9+R9+T9+V9+X9+Z9+AB9</f>
        <v>111281.57400000001</v>
      </c>
      <c r="F9" s="192">
        <f>G9</f>
        <v>104759.69799999999</v>
      </c>
      <c r="G9" s="192">
        <f>K9+M9+O9+Q9+S9+U9+W9+Y9+AA9+AC9+AE9+AG9</f>
        <v>104759.69799999999</v>
      </c>
      <c r="H9" s="192">
        <f>IFERROR(G9/D9*100,0)</f>
        <v>78.40613812559377</v>
      </c>
      <c r="I9" s="192">
        <f>IFERROR(G9/E9*100,0)</f>
        <v>94.139302882254327</v>
      </c>
      <c r="J9" s="192">
        <f t="shared" ref="J9:AG9" si="2">J13+J22+J25+J30+J55</f>
        <v>19820.183000000001</v>
      </c>
      <c r="K9" s="192">
        <f t="shared" si="2"/>
        <v>16477.845999999998</v>
      </c>
      <c r="L9" s="192">
        <f t="shared" si="2"/>
        <v>11775.547999999999</v>
      </c>
      <c r="M9" s="192">
        <f t="shared" si="2"/>
        <v>11974.710999999999</v>
      </c>
      <c r="N9" s="192">
        <f t="shared" si="2"/>
        <v>12075.3</v>
      </c>
      <c r="O9" s="192">
        <f t="shared" si="2"/>
        <v>12217.707999999999</v>
      </c>
      <c r="P9" s="192">
        <f t="shared" si="2"/>
        <v>12802.409</v>
      </c>
      <c r="Q9" s="192">
        <f t="shared" si="2"/>
        <v>10583.574000000001</v>
      </c>
      <c r="R9" s="192">
        <f t="shared" si="2"/>
        <v>9194.3680000000004</v>
      </c>
      <c r="S9" s="192">
        <f t="shared" si="2"/>
        <v>7692.5949999999993</v>
      </c>
      <c r="T9" s="192">
        <f t="shared" si="2"/>
        <v>6838.0249999999996</v>
      </c>
      <c r="U9" s="192">
        <f t="shared" si="2"/>
        <v>8418.5339999999997</v>
      </c>
      <c r="V9" s="192">
        <f t="shared" si="2"/>
        <v>12701.088999999998</v>
      </c>
      <c r="W9" s="192">
        <f t="shared" si="2"/>
        <v>11875.699000000001</v>
      </c>
      <c r="X9" s="192">
        <f t="shared" si="2"/>
        <v>9760.0920000000006</v>
      </c>
      <c r="Y9" s="192">
        <f t="shared" si="2"/>
        <v>9139.01</v>
      </c>
      <c r="Z9" s="192">
        <f t="shared" si="2"/>
        <v>8797.0319999999992</v>
      </c>
      <c r="AA9" s="192">
        <f t="shared" si="2"/>
        <v>10007.205</v>
      </c>
      <c r="AB9" s="192">
        <f t="shared" si="2"/>
        <v>7517.5280000000002</v>
      </c>
      <c r="AC9" s="192">
        <f t="shared" si="2"/>
        <v>6372.8159999999998</v>
      </c>
      <c r="AD9" s="192">
        <f t="shared" si="2"/>
        <v>8054.75</v>
      </c>
      <c r="AE9" s="192">
        <f t="shared" si="2"/>
        <v>0</v>
      </c>
      <c r="AF9" s="192">
        <f t="shared" si="2"/>
        <v>14275.278999999999</v>
      </c>
      <c r="AG9" s="192">
        <f t="shared" si="2"/>
        <v>0</v>
      </c>
      <c r="AH9" s="75"/>
    </row>
    <row r="10" spans="1:35" s="26" customFormat="1" ht="34.5" customHeight="1" x14ac:dyDescent="0.25">
      <c r="A10" s="558"/>
      <c r="B10" s="674"/>
      <c r="C10" s="191" t="s">
        <v>113</v>
      </c>
      <c r="D10" s="192">
        <f t="shared" ref="D10" si="3">J10+L10+N10+P10+R10+T10+V10+X10+Z10+AB10+AD10+AF10</f>
        <v>428</v>
      </c>
      <c r="E10" s="192">
        <f>J10+L10+N10+P10+R10+T10+V10</f>
        <v>428</v>
      </c>
      <c r="F10" s="192">
        <f t="shared" ref="F10" si="4">G10</f>
        <v>0</v>
      </c>
      <c r="G10" s="192">
        <f t="shared" ref="G10" si="5">K10+M10+O10+Q10+S10+U10+W10+Y10+AA10+AC10+AE10+AG10</f>
        <v>0</v>
      </c>
      <c r="H10" s="192">
        <f>IFERROR(G10/D10*100,0)</f>
        <v>0</v>
      </c>
      <c r="I10" s="192">
        <f>IFERROR(G10/E10*100,0)</f>
        <v>0</v>
      </c>
      <c r="J10" s="192">
        <f>J31</f>
        <v>15.9</v>
      </c>
      <c r="K10" s="192">
        <f t="shared" ref="K10:AG10" si="6">K31</f>
        <v>0</v>
      </c>
      <c r="L10" s="192">
        <f t="shared" si="6"/>
        <v>412.1</v>
      </c>
      <c r="M10" s="192">
        <f>M31</f>
        <v>0</v>
      </c>
      <c r="N10" s="192">
        <f t="shared" si="6"/>
        <v>0</v>
      </c>
      <c r="O10" s="192">
        <f t="shared" si="6"/>
        <v>0</v>
      </c>
      <c r="P10" s="192">
        <f t="shared" si="6"/>
        <v>0</v>
      </c>
      <c r="Q10" s="192">
        <f t="shared" si="6"/>
        <v>0</v>
      </c>
      <c r="R10" s="192">
        <f t="shared" si="6"/>
        <v>0</v>
      </c>
      <c r="S10" s="192">
        <f t="shared" si="6"/>
        <v>0</v>
      </c>
      <c r="T10" s="192">
        <f t="shared" si="6"/>
        <v>0</v>
      </c>
      <c r="U10" s="192">
        <f t="shared" si="6"/>
        <v>0</v>
      </c>
      <c r="V10" s="192">
        <f t="shared" si="6"/>
        <v>0</v>
      </c>
      <c r="W10" s="192">
        <f t="shared" si="6"/>
        <v>0</v>
      </c>
      <c r="X10" s="192">
        <f t="shared" si="6"/>
        <v>0</v>
      </c>
      <c r="Y10" s="192">
        <f t="shared" si="6"/>
        <v>0</v>
      </c>
      <c r="Z10" s="192">
        <f t="shared" si="6"/>
        <v>0</v>
      </c>
      <c r="AA10" s="192">
        <f t="shared" si="6"/>
        <v>0</v>
      </c>
      <c r="AB10" s="192">
        <f t="shared" si="6"/>
        <v>0</v>
      </c>
      <c r="AC10" s="192">
        <f t="shared" si="6"/>
        <v>0</v>
      </c>
      <c r="AD10" s="192">
        <f t="shared" si="6"/>
        <v>0</v>
      </c>
      <c r="AE10" s="192">
        <f t="shared" si="6"/>
        <v>0</v>
      </c>
      <c r="AF10" s="192">
        <f t="shared" si="6"/>
        <v>0</v>
      </c>
      <c r="AG10" s="192">
        <f t="shared" si="6"/>
        <v>0</v>
      </c>
      <c r="AH10" s="75"/>
    </row>
    <row r="11" spans="1:35" s="22" customFormat="1" ht="18.75" customHeight="1" x14ac:dyDescent="0.25">
      <c r="A11" s="68"/>
      <c r="B11" s="511" t="s">
        <v>300</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46"/>
    </row>
    <row r="12" spans="1:35" s="21" customFormat="1" ht="23.25" customHeight="1" x14ac:dyDescent="0.25">
      <c r="A12" s="675" t="s">
        <v>37</v>
      </c>
      <c r="B12" s="677" t="s">
        <v>301</v>
      </c>
      <c r="C12" s="183" t="s">
        <v>20</v>
      </c>
      <c r="D12" s="184">
        <f>D13</f>
        <v>7799.4</v>
      </c>
      <c r="E12" s="184">
        <f>E13</f>
        <v>6499.4</v>
      </c>
      <c r="F12" s="184">
        <f t="shared" ref="F12:G12" si="7">F13</f>
        <v>6499.4</v>
      </c>
      <c r="G12" s="184">
        <f t="shared" si="7"/>
        <v>6499.4</v>
      </c>
      <c r="H12" s="184">
        <f t="shared" ref="H12:H29" si="8">IFERROR(G12/D12*100,0)</f>
        <v>83.332051183424355</v>
      </c>
      <c r="I12" s="184">
        <f t="shared" ref="I12:I29" si="9">IFERROR(G12/E12*100,0)</f>
        <v>100</v>
      </c>
      <c r="J12" s="184">
        <f>J13</f>
        <v>6499.4</v>
      </c>
      <c r="K12" s="184">
        <f t="shared" ref="K12:AG12" si="10">K13</f>
        <v>6499.4</v>
      </c>
      <c r="L12" s="184">
        <f t="shared" si="10"/>
        <v>0</v>
      </c>
      <c r="M12" s="184">
        <f t="shared" si="10"/>
        <v>0</v>
      </c>
      <c r="N12" s="184">
        <f t="shared" si="10"/>
        <v>0</v>
      </c>
      <c r="O12" s="184">
        <f t="shared" si="10"/>
        <v>0</v>
      </c>
      <c r="P12" s="184">
        <f t="shared" si="10"/>
        <v>300</v>
      </c>
      <c r="Q12" s="184">
        <f t="shared" si="10"/>
        <v>0</v>
      </c>
      <c r="R12" s="184">
        <f t="shared" si="10"/>
        <v>0</v>
      </c>
      <c r="S12" s="184">
        <f t="shared" si="10"/>
        <v>0</v>
      </c>
      <c r="T12" s="184">
        <f t="shared" si="10"/>
        <v>0</v>
      </c>
      <c r="U12" s="184">
        <f t="shared" si="10"/>
        <v>0</v>
      </c>
      <c r="V12" s="184">
        <f t="shared" si="10"/>
        <v>0</v>
      </c>
      <c r="W12" s="184">
        <f t="shared" si="10"/>
        <v>0</v>
      </c>
      <c r="X12" s="184">
        <f t="shared" si="10"/>
        <v>0</v>
      </c>
      <c r="Y12" s="184">
        <f t="shared" si="10"/>
        <v>0</v>
      </c>
      <c r="Z12" s="184">
        <f t="shared" si="10"/>
        <v>0</v>
      </c>
      <c r="AA12" s="184">
        <f t="shared" si="10"/>
        <v>0</v>
      </c>
      <c r="AB12" s="184">
        <f t="shared" si="10"/>
        <v>0</v>
      </c>
      <c r="AC12" s="184">
        <f t="shared" si="10"/>
        <v>0</v>
      </c>
      <c r="AD12" s="184">
        <f t="shared" si="10"/>
        <v>1000</v>
      </c>
      <c r="AE12" s="184">
        <f t="shared" si="10"/>
        <v>0</v>
      </c>
      <c r="AF12" s="184">
        <f t="shared" si="10"/>
        <v>0</v>
      </c>
      <c r="AG12" s="184">
        <f t="shared" si="10"/>
        <v>0</v>
      </c>
      <c r="AH12" s="60"/>
      <c r="AI12" s="23"/>
    </row>
    <row r="13" spans="1:35" s="22" customFormat="1" ht="48" customHeight="1" x14ac:dyDescent="0.25">
      <c r="A13" s="676"/>
      <c r="B13" s="678"/>
      <c r="C13" s="186" t="s">
        <v>21</v>
      </c>
      <c r="D13" s="187">
        <f>SUM(J13,L13,N13,P13,R13,T13,V13,X13,Z13,AB13,AD13,AF13)</f>
        <v>7799.4</v>
      </c>
      <c r="E13" s="187">
        <f>J13+L13</f>
        <v>6499.4</v>
      </c>
      <c r="F13" s="187">
        <f>G13</f>
        <v>6499.4</v>
      </c>
      <c r="G13" s="187">
        <f>SUM(K13,M13,O13,Q13,S13,U13,W13,Y13,AA13,AC13,AE13,AG13)</f>
        <v>6499.4</v>
      </c>
      <c r="H13" s="187">
        <f t="shared" si="8"/>
        <v>83.332051183424355</v>
      </c>
      <c r="I13" s="187">
        <f t="shared" si="9"/>
        <v>100</v>
      </c>
      <c r="J13" s="193">
        <f t="shared" ref="J13:AG13" si="11">J15+J17+J19</f>
        <v>6499.4</v>
      </c>
      <c r="K13" s="193">
        <f t="shared" si="11"/>
        <v>6499.4</v>
      </c>
      <c r="L13" s="193">
        <f t="shared" si="11"/>
        <v>0</v>
      </c>
      <c r="M13" s="193">
        <f t="shared" si="11"/>
        <v>0</v>
      </c>
      <c r="N13" s="193">
        <f t="shared" si="11"/>
        <v>0</v>
      </c>
      <c r="O13" s="193">
        <f t="shared" si="11"/>
        <v>0</v>
      </c>
      <c r="P13" s="193">
        <f t="shared" si="11"/>
        <v>300</v>
      </c>
      <c r="Q13" s="193">
        <f t="shared" si="11"/>
        <v>0</v>
      </c>
      <c r="R13" s="193">
        <f t="shared" si="11"/>
        <v>0</v>
      </c>
      <c r="S13" s="193">
        <f t="shared" si="11"/>
        <v>0</v>
      </c>
      <c r="T13" s="193">
        <f t="shared" si="11"/>
        <v>0</v>
      </c>
      <c r="U13" s="193">
        <f t="shared" si="11"/>
        <v>0</v>
      </c>
      <c r="V13" s="193">
        <f t="shared" si="11"/>
        <v>0</v>
      </c>
      <c r="W13" s="193">
        <f t="shared" si="11"/>
        <v>0</v>
      </c>
      <c r="X13" s="193">
        <f t="shared" si="11"/>
        <v>0</v>
      </c>
      <c r="Y13" s="193">
        <f t="shared" si="11"/>
        <v>0</v>
      </c>
      <c r="Z13" s="193">
        <f t="shared" si="11"/>
        <v>0</v>
      </c>
      <c r="AA13" s="193">
        <f t="shared" si="11"/>
        <v>0</v>
      </c>
      <c r="AB13" s="193">
        <f t="shared" si="11"/>
        <v>0</v>
      </c>
      <c r="AC13" s="193">
        <f t="shared" si="11"/>
        <v>0</v>
      </c>
      <c r="AD13" s="193">
        <f t="shared" si="11"/>
        <v>1000</v>
      </c>
      <c r="AE13" s="193">
        <f t="shared" si="11"/>
        <v>0</v>
      </c>
      <c r="AF13" s="193">
        <f t="shared" si="11"/>
        <v>0</v>
      </c>
      <c r="AG13" s="193">
        <f t="shared" si="11"/>
        <v>0</v>
      </c>
      <c r="AH13" s="64"/>
      <c r="AI13" s="20"/>
    </row>
    <row r="14" spans="1:35" s="21" customFormat="1" ht="48" customHeight="1" x14ac:dyDescent="0.25">
      <c r="A14" s="519"/>
      <c r="B14" s="623" t="s">
        <v>302</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73" t="s">
        <v>327</v>
      </c>
      <c r="AI14" s="23"/>
    </row>
    <row r="15" spans="1:35" s="22" customFormat="1" ht="61.9" customHeight="1" x14ac:dyDescent="0.25">
      <c r="A15" s="521"/>
      <c r="B15" s="625"/>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74"/>
      <c r="AI15" s="20"/>
    </row>
    <row r="16" spans="1:35" s="21" customFormat="1" ht="375.6" customHeight="1" x14ac:dyDescent="0.25">
      <c r="A16" s="519"/>
      <c r="B16" s="623" t="s">
        <v>303</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73" t="s">
        <v>397</v>
      </c>
      <c r="AI16" s="23"/>
    </row>
    <row r="17" spans="1:35" s="22" customFormat="1" ht="67.900000000000006" customHeight="1" x14ac:dyDescent="0.25">
      <c r="A17" s="521"/>
      <c r="B17" s="625"/>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519"/>
      <c r="B18" s="623" t="s">
        <v>304</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73" t="s">
        <v>328</v>
      </c>
      <c r="AI18" s="23"/>
    </row>
    <row r="19" spans="1:35" s="22" customFormat="1" ht="64.900000000000006" customHeight="1" x14ac:dyDescent="0.25">
      <c r="A19" s="521"/>
      <c r="B19" s="625"/>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511" t="s">
        <v>305</v>
      </c>
      <c r="C20" s="512"/>
      <c r="D20" s="512"/>
      <c r="E20" s="512"/>
      <c r="F20" s="512"/>
      <c r="G20" s="512"/>
      <c r="H20" s="512"/>
      <c r="I20" s="512"/>
      <c r="J20" s="512"/>
      <c r="K20" s="512"/>
      <c r="L20" s="512"/>
      <c r="M20" s="512"/>
      <c r="N20" s="512"/>
      <c r="O20" s="512"/>
      <c r="P20" s="512"/>
      <c r="Q20" s="512"/>
      <c r="R20" s="512"/>
      <c r="S20" s="512"/>
      <c r="T20" s="512"/>
      <c r="U20" s="512"/>
      <c r="V20" s="512"/>
      <c r="W20" s="512"/>
      <c r="X20" s="512"/>
      <c r="Y20" s="512"/>
      <c r="Z20" s="512"/>
      <c r="AA20" s="512"/>
      <c r="AB20" s="512"/>
      <c r="AC20" s="512"/>
      <c r="AD20" s="512"/>
      <c r="AE20" s="512"/>
      <c r="AF20" s="512"/>
      <c r="AG20" s="513"/>
      <c r="AH20" s="64"/>
      <c r="AI20" s="20"/>
    </row>
    <row r="21" spans="1:35" s="21" customFormat="1" ht="55.5" customHeight="1" x14ac:dyDescent="0.25">
      <c r="A21" s="519" t="s">
        <v>38</v>
      </c>
      <c r="B21" s="525" t="s">
        <v>306</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521"/>
      <c r="B22" s="527"/>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399</v>
      </c>
      <c r="AI22" s="20"/>
    </row>
    <row r="23" spans="1:35" s="22" customFormat="1" ht="27.6" customHeight="1" x14ac:dyDescent="0.25">
      <c r="A23" s="161"/>
      <c r="B23" s="511" t="s">
        <v>307</v>
      </c>
      <c r="C23" s="512"/>
      <c r="D23" s="512"/>
      <c r="E23" s="512"/>
      <c r="F23" s="512"/>
      <c r="G23" s="512"/>
      <c r="H23" s="512"/>
      <c r="I23" s="512"/>
      <c r="J23" s="512"/>
      <c r="K23" s="512"/>
      <c r="L23" s="512"/>
      <c r="M23" s="512"/>
      <c r="N23" s="512"/>
      <c r="O23" s="512"/>
      <c r="P23" s="512"/>
      <c r="Q23" s="512"/>
      <c r="R23" s="512"/>
      <c r="S23" s="512"/>
      <c r="T23" s="512"/>
      <c r="U23" s="512"/>
      <c r="V23" s="512"/>
      <c r="W23" s="512"/>
      <c r="X23" s="512"/>
      <c r="Y23" s="512"/>
      <c r="Z23" s="512"/>
      <c r="AA23" s="512"/>
      <c r="AB23" s="512"/>
      <c r="AC23" s="512"/>
      <c r="AD23" s="512"/>
      <c r="AE23" s="512"/>
      <c r="AF23" s="512"/>
      <c r="AG23" s="513"/>
      <c r="AH23" s="64"/>
      <c r="AI23" s="20"/>
    </row>
    <row r="24" spans="1:35" s="169" customFormat="1" ht="55.5" customHeight="1" x14ac:dyDescent="0.25">
      <c r="A24" s="680" t="s">
        <v>265</v>
      </c>
      <c r="B24" s="682" t="s">
        <v>308</v>
      </c>
      <c r="C24" s="194" t="s">
        <v>20</v>
      </c>
      <c r="D24" s="195">
        <f>D25</f>
        <v>18765.598999999998</v>
      </c>
      <c r="E24" s="195">
        <f t="shared" ref="E24:G24" si="20">E25</f>
        <v>15799.8665</v>
      </c>
      <c r="F24" s="195">
        <f>F25</f>
        <v>12679.754999999997</v>
      </c>
      <c r="G24" s="195">
        <f t="shared" si="20"/>
        <v>12535.080000000002</v>
      </c>
      <c r="H24" s="195">
        <f t="shared" ref="H24:H25" si="21">IFERROR(G24/D24*100,0)</f>
        <v>66.798187470594485</v>
      </c>
      <c r="I24" s="195">
        <f t="shared" ref="I24:I25" si="22">IFERROR(G24/E24*100,0)</f>
        <v>79.336619711312125</v>
      </c>
      <c r="J24" s="195">
        <f>J25</f>
        <v>1658.1</v>
      </c>
      <c r="K24" s="195">
        <f t="shared" ref="K24:AG24" si="23">K25</f>
        <v>684.57500000000005</v>
      </c>
      <c r="L24" s="195">
        <f t="shared" si="23"/>
        <v>1365.44</v>
      </c>
      <c r="M24" s="195">
        <f>M25</f>
        <v>1630.575</v>
      </c>
      <c r="N24" s="195">
        <f t="shared" si="23"/>
        <v>1499.29</v>
      </c>
      <c r="O24" s="195">
        <f t="shared" si="23"/>
        <v>1420.9749999999999</v>
      </c>
      <c r="P24" s="195">
        <f t="shared" si="23"/>
        <v>1712.4780000000001</v>
      </c>
      <c r="Q24" s="195">
        <f t="shared" si="23"/>
        <v>1534.575</v>
      </c>
      <c r="R24" s="195">
        <f t="shared" si="23"/>
        <v>1525.0929999999998</v>
      </c>
      <c r="S24" s="195">
        <f t="shared" si="23"/>
        <v>1322.0149999999999</v>
      </c>
      <c r="T24" s="195">
        <f t="shared" si="23"/>
        <v>1639.8340000000001</v>
      </c>
      <c r="U24" s="195">
        <f t="shared" si="23"/>
        <v>1316.7349999999999</v>
      </c>
      <c r="V24" s="195">
        <f t="shared" si="23"/>
        <v>1972.2149999999999</v>
      </c>
      <c r="W24" s="195">
        <f t="shared" si="23"/>
        <v>1777.47</v>
      </c>
      <c r="X24" s="195">
        <f t="shared" si="23"/>
        <v>1597.934</v>
      </c>
      <c r="Y24" s="195">
        <f t="shared" si="23"/>
        <v>1448.085</v>
      </c>
      <c r="Z24" s="195">
        <f t="shared" si="23"/>
        <v>1413.174</v>
      </c>
      <c r="AA24" s="195">
        <f t="shared" si="23"/>
        <v>1400.075</v>
      </c>
      <c r="AB24" s="195">
        <f t="shared" si="23"/>
        <v>1416.309</v>
      </c>
      <c r="AC24" s="195">
        <f t="shared" si="23"/>
        <v>0</v>
      </c>
      <c r="AD24" s="195">
        <f t="shared" si="23"/>
        <v>1413.933</v>
      </c>
      <c r="AE24" s="195">
        <f t="shared" si="23"/>
        <v>0</v>
      </c>
      <c r="AF24" s="195">
        <f t="shared" si="23"/>
        <v>1551.799</v>
      </c>
      <c r="AG24" s="195">
        <f t="shared" si="23"/>
        <v>0</v>
      </c>
      <c r="AH24" s="200"/>
      <c r="AI24" s="168"/>
    </row>
    <row r="25" spans="1:35" s="175" customFormat="1" ht="183" customHeight="1" x14ac:dyDescent="0.25">
      <c r="A25" s="681"/>
      <c r="B25" s="683"/>
      <c r="C25" s="196" t="s">
        <v>21</v>
      </c>
      <c r="D25" s="197">
        <f>SUM(J25,L25,N25,P25,R25,T25,V25,X25,Z25,AB25,AD25,AF25)</f>
        <v>18765.598999999998</v>
      </c>
      <c r="E25" s="197">
        <f>E26+E27</f>
        <v>15799.8665</v>
      </c>
      <c r="F25" s="197">
        <f>F26+F27</f>
        <v>12679.754999999997</v>
      </c>
      <c r="G25" s="197">
        <f>SUM(K25,M25,O25,Q25,S25,U25,W25,Y25,AA25,AC25,AE25,AG25)</f>
        <v>12535.080000000002</v>
      </c>
      <c r="H25" s="197">
        <f t="shared" si="21"/>
        <v>66.798187470594485</v>
      </c>
      <c r="I25" s="197">
        <f t="shared" si="22"/>
        <v>79.336619711312125</v>
      </c>
      <c r="J25" s="198">
        <v>1658.1</v>
      </c>
      <c r="K25" s="198">
        <f>K26+K27</f>
        <v>684.57500000000005</v>
      </c>
      <c r="L25" s="198">
        <v>1365.44</v>
      </c>
      <c r="M25" s="198">
        <f>M26+M27</f>
        <v>1630.575</v>
      </c>
      <c r="N25" s="198">
        <v>1499.29</v>
      </c>
      <c r="O25" s="198">
        <f t="shared" ref="O25:AA25" si="24">O26+O27</f>
        <v>1420.9749999999999</v>
      </c>
      <c r="P25" s="198">
        <f t="shared" si="24"/>
        <v>1712.4780000000001</v>
      </c>
      <c r="Q25" s="198">
        <f t="shared" si="24"/>
        <v>1534.575</v>
      </c>
      <c r="R25" s="198">
        <f t="shared" si="24"/>
        <v>1525.0929999999998</v>
      </c>
      <c r="S25" s="198">
        <f t="shared" si="24"/>
        <v>1322.0149999999999</v>
      </c>
      <c r="T25" s="198">
        <f t="shared" si="24"/>
        <v>1639.8340000000001</v>
      </c>
      <c r="U25" s="198">
        <f t="shared" si="24"/>
        <v>1316.7349999999999</v>
      </c>
      <c r="V25" s="198">
        <f t="shared" si="24"/>
        <v>1972.2149999999999</v>
      </c>
      <c r="W25" s="198">
        <f t="shared" si="24"/>
        <v>1777.47</v>
      </c>
      <c r="X25" s="198">
        <f>X26+X27</f>
        <v>1597.934</v>
      </c>
      <c r="Y25" s="198">
        <f t="shared" si="24"/>
        <v>1448.085</v>
      </c>
      <c r="Z25" s="198">
        <f>Z26+Z27</f>
        <v>1413.174</v>
      </c>
      <c r="AA25" s="198">
        <f t="shared" si="24"/>
        <v>1400.075</v>
      </c>
      <c r="AB25" s="198">
        <f>AB26+AB27</f>
        <v>1416.309</v>
      </c>
      <c r="AC25" s="198">
        <v>0</v>
      </c>
      <c r="AD25" s="198">
        <f>AD26+AD27</f>
        <v>1413.933</v>
      </c>
      <c r="AE25" s="198">
        <v>0</v>
      </c>
      <c r="AF25" s="198">
        <f>AF26+AF27</f>
        <v>1551.799</v>
      </c>
      <c r="AG25" s="198">
        <v>0</v>
      </c>
      <c r="AH25" s="201"/>
      <c r="AI25" s="174"/>
    </row>
    <row r="26" spans="1:35" s="175" customFormat="1" ht="95.45" customHeight="1" x14ac:dyDescent="0.25">
      <c r="A26" s="319"/>
      <c r="B26" s="314" t="s">
        <v>340</v>
      </c>
      <c r="C26" s="196" t="s">
        <v>21</v>
      </c>
      <c r="D26" s="197">
        <f>J26+L26+N26+P26+R26+T26+V26+X26+Z26+AB26+AD26+AF26</f>
        <v>1926.5999999999997</v>
      </c>
      <c r="E26" s="197">
        <f>J26+L26+N26+P26+R26+T26+V26+X26+Z26+AB26</f>
        <v>1637.2499999999998</v>
      </c>
      <c r="F26" s="197">
        <f>K26+M26+O26+Q26+S26+U26+W26+Y26+AA26+AC26+AE26+AG26</f>
        <v>1637.2549999999999</v>
      </c>
      <c r="G26" s="197">
        <f>K26+M26+O26+Q26+S26+U26+W26+Y26+AA26+AA26</f>
        <v>1637.2549999999999</v>
      </c>
      <c r="H26" s="197">
        <f t="shared" ref="H26:H27" si="25">IFERROR(G26/D26*100,0)</f>
        <v>84.98157375687741</v>
      </c>
      <c r="I26" s="197">
        <f t="shared" ref="I26:I27" si="26">IFERROR(G26/E26*100,0)</f>
        <v>100.00030539013591</v>
      </c>
      <c r="J26" s="198">
        <v>335.17500000000001</v>
      </c>
      <c r="K26" s="198">
        <v>335.17500000000001</v>
      </c>
      <c r="L26" s="198">
        <v>144.67500000000001</v>
      </c>
      <c r="M26" s="198">
        <v>144.67500000000001</v>
      </c>
      <c r="N26" s="198">
        <v>144.67500000000001</v>
      </c>
      <c r="O26" s="198">
        <v>144.67500000000001</v>
      </c>
      <c r="P26" s="198">
        <v>144.67500000000001</v>
      </c>
      <c r="Q26" s="198">
        <v>144.67500000000001</v>
      </c>
      <c r="R26" s="198">
        <v>144.67500000000001</v>
      </c>
      <c r="S26" s="198">
        <v>144.67500000000001</v>
      </c>
      <c r="T26" s="198">
        <v>144.67500000000001</v>
      </c>
      <c r="U26" s="198">
        <v>144.67500000000001</v>
      </c>
      <c r="V26" s="198">
        <v>144.67500000000001</v>
      </c>
      <c r="W26" s="198">
        <v>144.68</v>
      </c>
      <c r="X26" s="198">
        <v>144.67500000000001</v>
      </c>
      <c r="Y26" s="198">
        <v>144.67500000000001</v>
      </c>
      <c r="Z26" s="198">
        <v>144.67500000000001</v>
      </c>
      <c r="AA26" s="198">
        <v>144.67500000000001</v>
      </c>
      <c r="AB26" s="198">
        <v>144.67500000000001</v>
      </c>
      <c r="AC26" s="198">
        <v>144.67500000000001</v>
      </c>
      <c r="AD26" s="198">
        <v>144.67500000000001</v>
      </c>
      <c r="AE26" s="198"/>
      <c r="AF26" s="198">
        <v>144.67500000000001</v>
      </c>
      <c r="AG26" s="198"/>
      <c r="AH26" s="313"/>
      <c r="AI26" s="174"/>
    </row>
    <row r="27" spans="1:35" s="175" customFormat="1" ht="135" customHeight="1" x14ac:dyDescent="0.25">
      <c r="A27" s="312"/>
      <c r="B27" s="318" t="s">
        <v>341</v>
      </c>
      <c r="C27" s="315" t="s">
        <v>21</v>
      </c>
      <c r="D27" s="317">
        <f>J27+L27+N27+P27+R27+T27+V27+X27+Z27+AB27+AD27+AF27</f>
        <v>16838.998500000002</v>
      </c>
      <c r="E27" s="317">
        <f>J27+L27+N27+P27+R27+T27+V27+X27+Z27+AB27</f>
        <v>14162.6165</v>
      </c>
      <c r="F27" s="316">
        <f>K27+M27+O27+Q27+S27+U27+W27+Y27+AA27+AC27+AE27+AG27</f>
        <v>11042.499999999998</v>
      </c>
      <c r="G27" s="316">
        <f>K27+M27+O27+Q27+S27+U27+W27+Y27+AA27+AC27</f>
        <v>11042.499999999998</v>
      </c>
      <c r="H27" s="316">
        <f t="shared" si="25"/>
        <v>65.576940338821203</v>
      </c>
      <c r="I27" s="316">
        <f t="shared" si="26"/>
        <v>77.969349801994554</v>
      </c>
      <c r="J27" s="316">
        <v>1322.9159999999999</v>
      </c>
      <c r="K27" s="317">
        <v>349.4</v>
      </c>
      <c r="L27" s="316">
        <v>1220.7739999999999</v>
      </c>
      <c r="M27" s="317">
        <v>1485.9</v>
      </c>
      <c r="N27" s="317">
        <v>1354.6144999999999</v>
      </c>
      <c r="O27" s="317">
        <v>1276.3</v>
      </c>
      <c r="P27" s="317">
        <v>1567.8030000000001</v>
      </c>
      <c r="Q27" s="317">
        <v>1389.9</v>
      </c>
      <c r="R27" s="317">
        <v>1380.4179999999999</v>
      </c>
      <c r="S27" s="317">
        <v>1177.3399999999999</v>
      </c>
      <c r="T27" s="317">
        <v>1495.1590000000001</v>
      </c>
      <c r="U27" s="317">
        <v>1172.06</v>
      </c>
      <c r="V27" s="317">
        <v>1827.54</v>
      </c>
      <c r="W27" s="317">
        <v>1632.79</v>
      </c>
      <c r="X27" s="317">
        <v>1453.259</v>
      </c>
      <c r="Y27" s="317">
        <v>1303.4100000000001</v>
      </c>
      <c r="Z27" s="317">
        <v>1268.499</v>
      </c>
      <c r="AA27" s="317">
        <v>1255.4000000000001</v>
      </c>
      <c r="AB27" s="317">
        <v>1271.634</v>
      </c>
      <c r="AC27" s="498"/>
      <c r="AD27" s="317">
        <v>1269.258</v>
      </c>
      <c r="AE27" s="317"/>
      <c r="AF27" s="317">
        <v>1407.124</v>
      </c>
      <c r="AG27" s="317"/>
      <c r="AH27" s="201" t="s">
        <v>398</v>
      </c>
      <c r="AI27" s="174"/>
    </row>
    <row r="28" spans="1:35" s="22" customFormat="1" ht="27.75" customHeight="1" x14ac:dyDescent="0.25">
      <c r="A28" s="161"/>
      <c r="B28" s="632" t="s">
        <v>309</v>
      </c>
      <c r="C28" s="633"/>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79"/>
      <c r="AH28" s="199"/>
      <c r="AI28" s="20"/>
    </row>
    <row r="29" spans="1:35" s="22" customFormat="1" ht="28.5" customHeight="1" x14ac:dyDescent="0.25">
      <c r="A29" s="454" t="s">
        <v>310</v>
      </c>
      <c r="B29" s="452" t="s">
        <v>311</v>
      </c>
      <c r="C29" s="183" t="s">
        <v>20</v>
      </c>
      <c r="D29" s="184">
        <f>D31+D30</f>
        <v>78392.60500000001</v>
      </c>
      <c r="E29" s="184">
        <f>E31+E30</f>
        <v>59784.053000000007</v>
      </c>
      <c r="F29" s="184">
        <f t="shared" ref="F29:G29" si="27">F31+F30</f>
        <v>62586.562000000005</v>
      </c>
      <c r="G29" s="184">
        <f t="shared" si="27"/>
        <v>62586.562000000005</v>
      </c>
      <c r="H29" s="184">
        <f t="shared" si="8"/>
        <v>79.837329043983161</v>
      </c>
      <c r="I29" s="184">
        <f t="shared" si="9"/>
        <v>104.68771998445806</v>
      </c>
      <c r="J29" s="185">
        <f>J31+J30</f>
        <v>7656.7209999999995</v>
      </c>
      <c r="K29" s="185">
        <f t="shared" ref="K29:AG29" si="28">K31+K30</f>
        <v>7640.8209999999999</v>
      </c>
      <c r="L29" s="185">
        <f t="shared" si="28"/>
        <v>8480.4639999999999</v>
      </c>
      <c r="M29" s="185">
        <f>M31+M30</f>
        <v>8068.3639999999996</v>
      </c>
      <c r="N29" s="185">
        <f t="shared" si="28"/>
        <v>8997.1029999999992</v>
      </c>
      <c r="O29" s="185">
        <f t="shared" si="28"/>
        <v>8997.1029999999992</v>
      </c>
      <c r="P29" s="185">
        <f t="shared" si="28"/>
        <v>7444.6169999999993</v>
      </c>
      <c r="Q29" s="185">
        <f t="shared" si="28"/>
        <v>7444.6160000000009</v>
      </c>
      <c r="R29" s="185">
        <f>R31+R30</f>
        <v>5385.9040000000005</v>
      </c>
      <c r="S29" s="185">
        <f t="shared" si="28"/>
        <v>4491.902</v>
      </c>
      <c r="T29" s="185">
        <f t="shared" si="28"/>
        <v>3741.5549999999998</v>
      </c>
      <c r="U29" s="185">
        <f t="shared" si="28"/>
        <v>3741.5549999999998</v>
      </c>
      <c r="V29" s="185">
        <f t="shared" si="28"/>
        <v>7857.7959999999994</v>
      </c>
      <c r="W29" s="185">
        <f t="shared" si="28"/>
        <v>7857.799</v>
      </c>
      <c r="X29" s="185">
        <f t="shared" si="28"/>
        <v>4414.9420000000009</v>
      </c>
      <c r="Y29" s="185">
        <f t="shared" si="28"/>
        <v>4425.4420000000009</v>
      </c>
      <c r="Z29" s="185">
        <f t="shared" si="28"/>
        <v>5804.951</v>
      </c>
      <c r="AA29" s="185">
        <f t="shared" si="28"/>
        <v>5794.4489999999996</v>
      </c>
      <c r="AB29" s="185">
        <f t="shared" si="28"/>
        <v>4124.5119999999997</v>
      </c>
      <c r="AC29" s="185">
        <f t="shared" si="28"/>
        <v>4124.5109999999995</v>
      </c>
      <c r="AD29" s="185">
        <f t="shared" si="28"/>
        <v>3772.31</v>
      </c>
      <c r="AE29" s="185">
        <f t="shared" si="28"/>
        <v>0</v>
      </c>
      <c r="AF29" s="185">
        <f t="shared" si="28"/>
        <v>10711.73</v>
      </c>
      <c r="AG29" s="185">
        <f t="shared" si="28"/>
        <v>0</v>
      </c>
      <c r="AH29" s="202"/>
      <c r="AI29" s="20"/>
    </row>
    <row r="30" spans="1:35" s="26" customFormat="1" ht="34.15" customHeight="1" x14ac:dyDescent="0.25">
      <c r="A30" s="455"/>
      <c r="B30" s="453"/>
      <c r="C30" s="186" t="s">
        <v>21</v>
      </c>
      <c r="D30" s="187">
        <f>SUM(J30,L30,N30,P30,R30,T30,V30,X30,Z30,AB30,AD30,AF30)</f>
        <v>77964.60500000001</v>
      </c>
      <c r="E30" s="187">
        <f>J30+L30+N30+P30+R30+T30+V30+X30+Z30</f>
        <v>59356.053000000007</v>
      </c>
      <c r="F30" s="187">
        <f>G30</f>
        <v>62586.562000000005</v>
      </c>
      <c r="G30" s="187">
        <f>SUM(K30,M30,O30,Q30,S30,U30,W30,Y30,AA30,AC30,AE30,AG30)</f>
        <v>62586.562000000005</v>
      </c>
      <c r="H30" s="187">
        <f>IFERROR(G30/D30*100,0)</f>
        <v>80.275609682111508</v>
      </c>
      <c r="I30" s="187">
        <f>IFERROR(G30/E30*100,0)</f>
        <v>105.44259403501779</v>
      </c>
      <c r="J30" s="193">
        <f t="shared" ref="J30:AG30" si="29">J33+J35+J45+J48</f>
        <v>7640.8209999999999</v>
      </c>
      <c r="K30" s="193">
        <f t="shared" si="29"/>
        <v>7640.8209999999999</v>
      </c>
      <c r="L30" s="193">
        <f t="shared" si="29"/>
        <v>8068.3639999999996</v>
      </c>
      <c r="M30" s="193">
        <f t="shared" si="29"/>
        <v>8068.3639999999996</v>
      </c>
      <c r="N30" s="193">
        <f t="shared" si="29"/>
        <v>8997.1029999999992</v>
      </c>
      <c r="O30" s="193">
        <f t="shared" si="29"/>
        <v>8997.1029999999992</v>
      </c>
      <c r="P30" s="193">
        <f t="shared" si="29"/>
        <v>7444.6169999999993</v>
      </c>
      <c r="Q30" s="193">
        <f t="shared" si="29"/>
        <v>7444.6160000000009</v>
      </c>
      <c r="R30" s="193">
        <f t="shared" si="29"/>
        <v>5385.9040000000005</v>
      </c>
      <c r="S30" s="193">
        <f t="shared" si="29"/>
        <v>4491.902</v>
      </c>
      <c r="T30" s="193">
        <f t="shared" si="29"/>
        <v>3741.5549999999998</v>
      </c>
      <c r="U30" s="193">
        <f t="shared" si="29"/>
        <v>3741.5549999999998</v>
      </c>
      <c r="V30" s="193">
        <f t="shared" si="29"/>
        <v>7857.7959999999994</v>
      </c>
      <c r="W30" s="193">
        <f t="shared" si="29"/>
        <v>7857.799</v>
      </c>
      <c r="X30" s="193">
        <f t="shared" si="29"/>
        <v>4414.9420000000009</v>
      </c>
      <c r="Y30" s="193">
        <f t="shared" si="29"/>
        <v>4425.4420000000009</v>
      </c>
      <c r="Z30" s="193">
        <f t="shared" si="29"/>
        <v>5804.951</v>
      </c>
      <c r="AA30" s="193">
        <f t="shared" si="29"/>
        <v>5794.4489999999996</v>
      </c>
      <c r="AB30" s="193">
        <f t="shared" si="29"/>
        <v>4124.5119999999997</v>
      </c>
      <c r="AC30" s="193">
        <f t="shared" si="29"/>
        <v>4124.5109999999995</v>
      </c>
      <c r="AD30" s="193">
        <f t="shared" si="29"/>
        <v>3772.31</v>
      </c>
      <c r="AE30" s="193">
        <f t="shared" si="29"/>
        <v>0</v>
      </c>
      <c r="AF30" s="193">
        <f t="shared" si="29"/>
        <v>10711.73</v>
      </c>
      <c r="AG30" s="193">
        <f t="shared" si="29"/>
        <v>0</v>
      </c>
      <c r="AH30" s="202"/>
      <c r="AI30" s="24"/>
    </row>
    <row r="31" spans="1:35" s="26" customFormat="1" ht="37.5" customHeight="1" x14ac:dyDescent="0.25">
      <c r="A31" s="456"/>
      <c r="B31" s="453"/>
      <c r="C31" s="186" t="s">
        <v>113</v>
      </c>
      <c r="D31" s="187">
        <f>SUM(J31,L31,N31,P31,R31,T31,V31,X31,Z31,AB31,AD31,AF31)</f>
        <v>428</v>
      </c>
      <c r="E31" s="187">
        <f>J31+L31+N31+P31+R31+T31+V31+X31+Z31</f>
        <v>428</v>
      </c>
      <c r="F31" s="187">
        <f>G31</f>
        <v>0</v>
      </c>
      <c r="G31" s="187">
        <f>SUM(K31,M31,O31,Q31,S31,U31,W31,Y31,AA31,AC31,AE31,AG31)</f>
        <v>0</v>
      </c>
      <c r="H31" s="187">
        <f>IFERROR(G31/D31*100,0)</f>
        <v>0</v>
      </c>
      <c r="I31" s="187">
        <f>IFERROR(G31/E31*100,0)</f>
        <v>0</v>
      </c>
      <c r="J31" s="193">
        <f>J46</f>
        <v>15.9</v>
      </c>
      <c r="K31" s="193">
        <f t="shared" ref="K31:AG31" si="30">K46</f>
        <v>0</v>
      </c>
      <c r="L31" s="193">
        <f t="shared" si="30"/>
        <v>412.1</v>
      </c>
      <c r="M31" s="193">
        <f t="shared" si="30"/>
        <v>0</v>
      </c>
      <c r="N31" s="193">
        <f t="shared" si="30"/>
        <v>0</v>
      </c>
      <c r="O31" s="193">
        <f t="shared" si="30"/>
        <v>0</v>
      </c>
      <c r="P31" s="193">
        <f t="shared" si="30"/>
        <v>0</v>
      </c>
      <c r="Q31" s="193">
        <f t="shared" si="30"/>
        <v>0</v>
      </c>
      <c r="R31" s="193">
        <f t="shared" si="30"/>
        <v>0</v>
      </c>
      <c r="S31" s="193">
        <f t="shared" si="30"/>
        <v>0</v>
      </c>
      <c r="T31" s="193">
        <f t="shared" si="30"/>
        <v>0</v>
      </c>
      <c r="U31" s="193">
        <f t="shared" si="30"/>
        <v>0</v>
      </c>
      <c r="V31" s="193">
        <f t="shared" si="30"/>
        <v>0</v>
      </c>
      <c r="W31" s="193">
        <f t="shared" si="30"/>
        <v>0</v>
      </c>
      <c r="X31" s="193">
        <f t="shared" si="30"/>
        <v>0</v>
      </c>
      <c r="Y31" s="193">
        <f t="shared" si="30"/>
        <v>0</v>
      </c>
      <c r="Z31" s="193">
        <f t="shared" si="30"/>
        <v>0</v>
      </c>
      <c r="AA31" s="193">
        <f t="shared" si="30"/>
        <v>0</v>
      </c>
      <c r="AB31" s="193">
        <f t="shared" si="30"/>
        <v>0</v>
      </c>
      <c r="AC31" s="193">
        <f t="shared" si="30"/>
        <v>0</v>
      </c>
      <c r="AD31" s="193">
        <f t="shared" si="30"/>
        <v>0</v>
      </c>
      <c r="AE31" s="193">
        <f t="shared" si="30"/>
        <v>0</v>
      </c>
      <c r="AF31" s="193">
        <f t="shared" si="30"/>
        <v>0</v>
      </c>
      <c r="AG31" s="193">
        <f t="shared" si="30"/>
        <v>0</v>
      </c>
      <c r="AH31" s="202"/>
      <c r="AI31" s="24"/>
    </row>
    <row r="32" spans="1:35" s="175" customFormat="1" ht="75.599999999999994" customHeight="1" x14ac:dyDescent="0.25">
      <c r="A32" s="457"/>
      <c r="B32" s="459" t="s">
        <v>312</v>
      </c>
      <c r="C32" s="278"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6">
        <f>J33</f>
        <v>0</v>
      </c>
      <c r="K32" s="176">
        <f t="shared" ref="K32:AG32" si="34">K33</f>
        <v>0</v>
      </c>
      <c r="L32" s="176">
        <f t="shared" si="34"/>
        <v>401.77</v>
      </c>
      <c r="M32" s="176">
        <f>M33</f>
        <v>401.77</v>
      </c>
      <c r="N32" s="176">
        <f t="shared" si="34"/>
        <v>1375.03</v>
      </c>
      <c r="O32" s="176">
        <f t="shared" si="34"/>
        <v>1375.03</v>
      </c>
      <c r="P32" s="310">
        <f t="shared" si="34"/>
        <v>1100</v>
      </c>
      <c r="Q32" s="310">
        <f t="shared" si="34"/>
        <v>1100</v>
      </c>
      <c r="R32" s="176">
        <f t="shared" si="34"/>
        <v>32.491</v>
      </c>
      <c r="S32" s="176">
        <f t="shared" si="34"/>
        <v>32.49</v>
      </c>
      <c r="T32" s="176">
        <f t="shared" si="34"/>
        <v>0</v>
      </c>
      <c r="U32" s="176">
        <f t="shared" si="34"/>
        <v>0</v>
      </c>
      <c r="V32" s="176">
        <f t="shared" si="34"/>
        <v>0</v>
      </c>
      <c r="W32" s="176">
        <f t="shared" si="34"/>
        <v>0</v>
      </c>
      <c r="X32" s="176">
        <f t="shared" si="34"/>
        <v>0</v>
      </c>
      <c r="Y32" s="176">
        <f t="shared" si="34"/>
        <v>0</v>
      </c>
      <c r="Z32" s="176">
        <f t="shared" si="34"/>
        <v>36.609000000000002</v>
      </c>
      <c r="AA32" s="176">
        <f t="shared" si="34"/>
        <v>36.609000000000002</v>
      </c>
      <c r="AB32" s="176">
        <f t="shared" si="34"/>
        <v>0</v>
      </c>
      <c r="AC32" s="176">
        <f t="shared" si="34"/>
        <v>0</v>
      </c>
      <c r="AD32" s="176">
        <f t="shared" si="34"/>
        <v>0</v>
      </c>
      <c r="AE32" s="176">
        <f t="shared" si="34"/>
        <v>0</v>
      </c>
      <c r="AF32" s="176">
        <f t="shared" si="34"/>
        <v>0</v>
      </c>
      <c r="AG32" s="176">
        <f t="shared" si="34"/>
        <v>0</v>
      </c>
      <c r="AH32" s="167"/>
      <c r="AI32" s="174"/>
    </row>
    <row r="33" spans="1:35" s="175" customFormat="1" ht="96.6" customHeight="1" x14ac:dyDescent="0.25">
      <c r="A33" s="458"/>
      <c r="B33" s="460"/>
      <c r="C33" s="279" t="s">
        <v>21</v>
      </c>
      <c r="D33" s="171">
        <f>SUM(J33,L33,N33,P33,R33,T33,V33,X33,Z33,AB33,AD33,AF33)</f>
        <v>2945.9</v>
      </c>
      <c r="E33" s="171">
        <f>J33+L33+N33+P33+R33+T33+V33+X33+Z33+AB33</f>
        <v>2945.9</v>
      </c>
      <c r="F33" s="171">
        <f>G33</f>
        <v>2945.8989999999999</v>
      </c>
      <c r="G33" s="171">
        <f>SUM(K33,M33,O33,Q33,S33,U33,W33,Y33,AA33,AC33,AE33,AG33)</f>
        <v>2945.8989999999999</v>
      </c>
      <c r="H33" s="171">
        <f>IFERROR(G33/D33*100,0)</f>
        <v>99.999966054516449</v>
      </c>
      <c r="I33" s="172">
        <f>IFERROR(G33/E33*100,0)</f>
        <v>99.999966054516449</v>
      </c>
      <c r="J33" s="177">
        <v>0</v>
      </c>
      <c r="K33" s="177">
        <v>0</v>
      </c>
      <c r="L33" s="177">
        <v>401.77</v>
      </c>
      <c r="M33" s="177">
        <v>401.77</v>
      </c>
      <c r="N33" s="177">
        <v>1375.03</v>
      </c>
      <c r="O33" s="177">
        <v>1375.03</v>
      </c>
      <c r="P33" s="311">
        <v>1100</v>
      </c>
      <c r="Q33" s="311">
        <v>1100</v>
      </c>
      <c r="R33" s="177">
        <v>32.491</v>
      </c>
      <c r="S33" s="177">
        <v>32.49</v>
      </c>
      <c r="T33" s="177">
        <v>0</v>
      </c>
      <c r="U33" s="177">
        <v>0</v>
      </c>
      <c r="V33" s="177">
        <v>0</v>
      </c>
      <c r="W33" s="177">
        <v>0</v>
      </c>
      <c r="X33" s="177">
        <v>0</v>
      </c>
      <c r="Y33" s="177">
        <v>0</v>
      </c>
      <c r="Z33" s="177">
        <v>36.609000000000002</v>
      </c>
      <c r="AA33" s="177">
        <v>36.609000000000002</v>
      </c>
      <c r="AB33" s="177">
        <v>0</v>
      </c>
      <c r="AC33" s="177">
        <v>0</v>
      </c>
      <c r="AD33" s="177">
        <v>0</v>
      </c>
      <c r="AE33" s="177">
        <v>0</v>
      </c>
      <c r="AF33" s="177">
        <v>0</v>
      </c>
      <c r="AG33" s="177">
        <v>0</v>
      </c>
      <c r="AH33" s="173" t="s">
        <v>400</v>
      </c>
      <c r="AI33" s="174"/>
    </row>
    <row r="34" spans="1:35" s="175" customFormat="1" ht="187.9" customHeight="1" x14ac:dyDescent="0.25">
      <c r="A34" s="448"/>
      <c r="B34" s="450" t="s">
        <v>313</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6">
        <f>J35</f>
        <v>2992.1</v>
      </c>
      <c r="K34" s="176">
        <f t="shared" ref="K34:AG34" si="38">K35</f>
        <v>2992.1</v>
      </c>
      <c r="L34" s="176">
        <f t="shared" si="38"/>
        <v>1772.8580000000002</v>
      </c>
      <c r="M34" s="176">
        <f t="shared" si="38"/>
        <v>1772.8580000000002</v>
      </c>
      <c r="N34" s="176">
        <f t="shared" si="38"/>
        <v>1769.3</v>
      </c>
      <c r="O34" s="176">
        <f t="shared" si="38"/>
        <v>1769.3</v>
      </c>
      <c r="P34" s="310">
        <f t="shared" si="38"/>
        <v>59.4</v>
      </c>
      <c r="Q34" s="310">
        <f t="shared" si="38"/>
        <v>59.4</v>
      </c>
      <c r="R34" s="176">
        <f t="shared" si="38"/>
        <v>613.79999999999995</v>
      </c>
      <c r="S34" s="176">
        <f t="shared" si="38"/>
        <v>13.8</v>
      </c>
      <c r="T34" s="176">
        <f t="shared" si="38"/>
        <v>0</v>
      </c>
      <c r="U34" s="176">
        <f t="shared" si="38"/>
        <v>0</v>
      </c>
      <c r="V34" s="176">
        <f t="shared" si="38"/>
        <v>0</v>
      </c>
      <c r="W34" s="176">
        <f t="shared" si="38"/>
        <v>0</v>
      </c>
      <c r="X34" s="176">
        <f t="shared" si="38"/>
        <v>97.8</v>
      </c>
      <c r="Y34" s="176">
        <f t="shared" si="38"/>
        <v>97.8</v>
      </c>
      <c r="Z34" s="176">
        <f t="shared" si="38"/>
        <v>96.941999999999993</v>
      </c>
      <c r="AA34" s="176">
        <f t="shared" si="38"/>
        <v>96.94</v>
      </c>
      <c r="AB34" s="176">
        <f t="shared" si="38"/>
        <v>154.14999999999998</v>
      </c>
      <c r="AC34" s="176">
        <f t="shared" si="38"/>
        <v>154.14999999999998</v>
      </c>
      <c r="AD34" s="176">
        <f t="shared" si="38"/>
        <v>369.84999999999997</v>
      </c>
      <c r="AE34" s="176">
        <f t="shared" si="38"/>
        <v>0</v>
      </c>
      <c r="AF34" s="176">
        <f t="shared" si="38"/>
        <v>0</v>
      </c>
      <c r="AG34" s="176">
        <f t="shared" si="38"/>
        <v>0</v>
      </c>
      <c r="AH34" s="173" t="s">
        <v>384</v>
      </c>
      <c r="AI34" s="174"/>
    </row>
    <row r="35" spans="1:35" s="175" customFormat="1" ht="64.150000000000006" customHeight="1" x14ac:dyDescent="0.25">
      <c r="A35" s="449"/>
      <c r="B35" s="451"/>
      <c r="C35" s="170" t="s">
        <v>21</v>
      </c>
      <c r="D35" s="171">
        <f>SUM(J35,L35,N35,P35,R35,T35,V35,X35,Z35,AB35,AD35,AF35)</f>
        <v>7926.2000000000007</v>
      </c>
      <c r="E35" s="172">
        <f>J35+L35+N35+P35+R35+T35+V35+X35+Z35+AB35</f>
        <v>7556.35</v>
      </c>
      <c r="F35" s="172">
        <f>G35</f>
        <v>6956.348</v>
      </c>
      <c r="G35" s="172">
        <f>SUM(K35,M35,O35,Q35,S35,U35,W35,Y35,AA35,AC35,AE35,AG35)</f>
        <v>6956.348</v>
      </c>
      <c r="H35" s="172">
        <f>IFERROR(G35/D35*100,0)</f>
        <v>87.763972647674791</v>
      </c>
      <c r="I35" s="172">
        <f>IFERROR(G35/E35*100,0)</f>
        <v>92.059631965168364</v>
      </c>
      <c r="J35" s="177">
        <f>J37+J39+J41+J43</f>
        <v>2992.1</v>
      </c>
      <c r="K35" s="177">
        <v>2992.1</v>
      </c>
      <c r="L35" s="177">
        <f t="shared" ref="L35:AG35" si="39">L37+L39+L41+L43</f>
        <v>1772.8580000000002</v>
      </c>
      <c r="M35" s="177">
        <f t="shared" si="39"/>
        <v>1772.8580000000002</v>
      </c>
      <c r="N35" s="177">
        <f t="shared" si="39"/>
        <v>1769.3</v>
      </c>
      <c r="O35" s="177">
        <f t="shared" si="39"/>
        <v>1769.3</v>
      </c>
      <c r="P35" s="311">
        <f t="shared" si="39"/>
        <v>59.4</v>
      </c>
      <c r="Q35" s="311">
        <v>59.4</v>
      </c>
      <c r="R35" s="177">
        <f t="shared" si="39"/>
        <v>613.79999999999995</v>
      </c>
      <c r="S35" s="177">
        <f t="shared" si="39"/>
        <v>13.8</v>
      </c>
      <c r="T35" s="177">
        <f t="shared" si="39"/>
        <v>0</v>
      </c>
      <c r="U35" s="177">
        <f t="shared" si="39"/>
        <v>0</v>
      </c>
      <c r="V35" s="177">
        <f t="shared" si="39"/>
        <v>0</v>
      </c>
      <c r="W35" s="177">
        <f t="shared" si="39"/>
        <v>0</v>
      </c>
      <c r="X35" s="177">
        <f t="shared" si="39"/>
        <v>97.8</v>
      </c>
      <c r="Y35" s="177">
        <f t="shared" si="39"/>
        <v>97.8</v>
      </c>
      <c r="Z35" s="177">
        <f t="shared" si="39"/>
        <v>96.941999999999993</v>
      </c>
      <c r="AA35" s="177">
        <f t="shared" si="39"/>
        <v>96.94</v>
      </c>
      <c r="AB35" s="177">
        <f t="shared" si="39"/>
        <v>154.14999999999998</v>
      </c>
      <c r="AC35" s="177">
        <f t="shared" si="39"/>
        <v>154.14999999999998</v>
      </c>
      <c r="AD35" s="177">
        <f t="shared" si="39"/>
        <v>369.84999999999997</v>
      </c>
      <c r="AE35" s="177">
        <f t="shared" si="39"/>
        <v>0</v>
      </c>
      <c r="AF35" s="177">
        <f t="shared" si="39"/>
        <v>0</v>
      </c>
      <c r="AG35" s="177">
        <f t="shared" si="39"/>
        <v>0</v>
      </c>
      <c r="AH35" s="173" t="s">
        <v>442</v>
      </c>
      <c r="AI35" s="174"/>
    </row>
    <row r="36" spans="1:35" s="175" customFormat="1" ht="168" customHeight="1" x14ac:dyDescent="0.25">
      <c r="A36" s="439"/>
      <c r="B36" s="441" t="s">
        <v>314</v>
      </c>
      <c r="C36" s="126" t="s">
        <v>20</v>
      </c>
      <c r="D36" s="74">
        <f>D37</f>
        <v>4265.7</v>
      </c>
      <c r="E36" s="74">
        <f t="shared" ref="E36:G36" si="40">E37</f>
        <v>3911.3</v>
      </c>
      <c r="F36" s="74">
        <f>F37</f>
        <v>3911.2980000000002</v>
      </c>
      <c r="G36" s="171">
        <f t="shared" si="40"/>
        <v>3911.2980000000002</v>
      </c>
      <c r="H36" s="172">
        <f t="shared" ref="H36" si="41">IFERROR(G36/D36*100,0)</f>
        <v>91.691820803150719</v>
      </c>
      <c r="I36" s="172">
        <f t="shared" ref="I36" si="42">IFERROR(G36/E36*100,0)</f>
        <v>99.99994886610591</v>
      </c>
      <c r="J36" s="177">
        <f>J37</f>
        <v>0</v>
      </c>
      <c r="K36" s="177">
        <f t="shared" ref="K36:AG36" si="43">K37</f>
        <v>0</v>
      </c>
      <c r="L36" s="177">
        <f t="shared" si="43"/>
        <v>1769.4580000000001</v>
      </c>
      <c r="M36" s="177">
        <f t="shared" si="43"/>
        <v>1769.4580000000001</v>
      </c>
      <c r="N36" s="177">
        <f t="shared" si="43"/>
        <v>1769.3</v>
      </c>
      <c r="O36" s="177">
        <f t="shared" si="43"/>
        <v>1769.3</v>
      </c>
      <c r="P36" s="311">
        <f t="shared" si="43"/>
        <v>59.4</v>
      </c>
      <c r="Q36" s="311">
        <f t="shared" si="43"/>
        <v>59.4</v>
      </c>
      <c r="R36" s="177">
        <f t="shared" si="43"/>
        <v>13.8</v>
      </c>
      <c r="S36" s="177">
        <f t="shared" si="43"/>
        <v>13.8</v>
      </c>
      <c r="T36" s="177">
        <f t="shared" si="43"/>
        <v>0</v>
      </c>
      <c r="U36" s="177">
        <f t="shared" si="43"/>
        <v>0</v>
      </c>
      <c r="V36" s="177">
        <f t="shared" si="43"/>
        <v>0</v>
      </c>
      <c r="W36" s="177">
        <f t="shared" si="43"/>
        <v>0</v>
      </c>
      <c r="X36" s="177">
        <f t="shared" si="43"/>
        <v>97.8</v>
      </c>
      <c r="Y36" s="177">
        <f t="shared" si="43"/>
        <v>97.8</v>
      </c>
      <c r="Z36" s="177">
        <f t="shared" si="43"/>
        <v>96.941999999999993</v>
      </c>
      <c r="AA36" s="177">
        <f t="shared" si="43"/>
        <v>96.94</v>
      </c>
      <c r="AB36" s="177">
        <f t="shared" si="43"/>
        <v>104.6</v>
      </c>
      <c r="AC36" s="177">
        <f t="shared" si="43"/>
        <v>104.6</v>
      </c>
      <c r="AD36" s="177">
        <f t="shared" si="43"/>
        <v>354.4</v>
      </c>
      <c r="AE36" s="177">
        <f t="shared" si="43"/>
        <v>0</v>
      </c>
      <c r="AF36" s="177">
        <f t="shared" si="43"/>
        <v>0</v>
      </c>
      <c r="AG36" s="177">
        <f t="shared" si="43"/>
        <v>0</v>
      </c>
      <c r="AH36" s="173" t="s">
        <v>387</v>
      </c>
      <c r="AI36" s="174"/>
    </row>
    <row r="37" spans="1:35" s="175" customFormat="1" ht="65.25" customHeight="1" x14ac:dyDescent="0.25">
      <c r="A37" s="440"/>
      <c r="B37" s="442"/>
      <c r="C37" s="124" t="s">
        <v>21</v>
      </c>
      <c r="D37" s="74">
        <f>SUM(J37,L37,N37,P37,R37,T37,V37,X37,Z37,AB37,AD37,AF37)</f>
        <v>4265.7</v>
      </c>
      <c r="E37" s="74">
        <f>J37+L37+N37+P37+R37+T37+V37+X37+Z37+AB37</f>
        <v>3911.3</v>
      </c>
      <c r="F37" s="74">
        <f>G37</f>
        <v>3911.2980000000002</v>
      </c>
      <c r="G37" s="171">
        <f>SUM(K37,M37,O37,Q37,S37,U37,W37,Y37,AA37,AC37,AE37,AG37)</f>
        <v>3911.2980000000002</v>
      </c>
      <c r="H37" s="171">
        <f>IFERROR(G37/D37*100,0)</f>
        <v>91.691820803150719</v>
      </c>
      <c r="I37" s="171">
        <f>IFERROR(G37/E37*100,0)</f>
        <v>99.99994886610591</v>
      </c>
      <c r="J37" s="311">
        <v>0</v>
      </c>
      <c r="K37" s="311">
        <v>0</v>
      </c>
      <c r="L37" s="311">
        <v>1769.4580000000001</v>
      </c>
      <c r="M37" s="311">
        <v>1769.4580000000001</v>
      </c>
      <c r="N37" s="311">
        <v>1769.3</v>
      </c>
      <c r="O37" s="311">
        <v>1769.3</v>
      </c>
      <c r="P37" s="311">
        <v>59.4</v>
      </c>
      <c r="Q37" s="311">
        <v>59.4</v>
      </c>
      <c r="R37" s="311">
        <v>13.8</v>
      </c>
      <c r="S37" s="311">
        <v>13.8</v>
      </c>
      <c r="T37" s="311">
        <v>0</v>
      </c>
      <c r="U37" s="311">
        <v>0</v>
      </c>
      <c r="V37" s="311">
        <v>0</v>
      </c>
      <c r="W37" s="311">
        <v>0</v>
      </c>
      <c r="X37" s="311">
        <v>97.8</v>
      </c>
      <c r="Y37" s="311">
        <v>97.8</v>
      </c>
      <c r="Z37" s="177">
        <v>96.941999999999993</v>
      </c>
      <c r="AA37" s="177">
        <v>96.94</v>
      </c>
      <c r="AB37" s="177">
        <v>104.6</v>
      </c>
      <c r="AC37" s="177">
        <v>104.6</v>
      </c>
      <c r="AD37" s="177">
        <v>354.4</v>
      </c>
      <c r="AE37" s="177">
        <v>0</v>
      </c>
      <c r="AF37" s="177">
        <v>0</v>
      </c>
      <c r="AG37" s="177">
        <v>0</v>
      </c>
      <c r="AH37" s="43"/>
      <c r="AI37" s="174"/>
    </row>
    <row r="38" spans="1:35" s="175" customFormat="1" ht="51" customHeight="1" x14ac:dyDescent="0.25">
      <c r="A38" s="178"/>
      <c r="B38" s="443" t="s">
        <v>315</v>
      </c>
      <c r="C38" s="170" t="s">
        <v>20</v>
      </c>
      <c r="D38" s="171">
        <f t="shared" ref="D38:E38" si="44">D39</f>
        <v>600</v>
      </c>
      <c r="E38" s="172">
        <f t="shared" si="44"/>
        <v>0</v>
      </c>
      <c r="F38" s="172">
        <f t="shared" ref="F38:F41" si="45">G38</f>
        <v>0</v>
      </c>
      <c r="G38" s="172">
        <f>G39</f>
        <v>0</v>
      </c>
      <c r="H38" s="172">
        <f t="shared" ref="H38:H42" si="46">IFERROR(G38/D38*100,0)</f>
        <v>0</v>
      </c>
      <c r="I38" s="172">
        <f t="shared" ref="I38:I42" si="47">IFERROR(G38/E38*100,0)</f>
        <v>0</v>
      </c>
      <c r="J38" s="172">
        <f t="shared" ref="J38:AG38" si="48">J39</f>
        <v>0</v>
      </c>
      <c r="K38" s="172">
        <f t="shared" si="48"/>
        <v>0</v>
      </c>
      <c r="L38" s="172">
        <f t="shared" si="48"/>
        <v>0</v>
      </c>
      <c r="M38" s="172">
        <f t="shared" si="48"/>
        <v>0</v>
      </c>
      <c r="N38" s="172">
        <f t="shared" si="48"/>
        <v>0</v>
      </c>
      <c r="O38" s="172">
        <f t="shared" si="48"/>
        <v>0</v>
      </c>
      <c r="P38" s="171">
        <f t="shared" si="48"/>
        <v>0</v>
      </c>
      <c r="Q38" s="171">
        <f t="shared" si="48"/>
        <v>0</v>
      </c>
      <c r="R38" s="172">
        <f t="shared" si="48"/>
        <v>600</v>
      </c>
      <c r="S38" s="172">
        <f t="shared" si="48"/>
        <v>0</v>
      </c>
      <c r="T38" s="172">
        <f t="shared" si="48"/>
        <v>0</v>
      </c>
      <c r="U38" s="172">
        <f t="shared" si="48"/>
        <v>0</v>
      </c>
      <c r="V38" s="172">
        <f t="shared" si="48"/>
        <v>0</v>
      </c>
      <c r="W38" s="172">
        <f t="shared" si="48"/>
        <v>0</v>
      </c>
      <c r="X38" s="172">
        <f t="shared" si="48"/>
        <v>0</v>
      </c>
      <c r="Y38" s="172">
        <f t="shared" si="48"/>
        <v>0</v>
      </c>
      <c r="Z38" s="172">
        <f t="shared" si="48"/>
        <v>0</v>
      </c>
      <c r="AA38" s="172">
        <f t="shared" si="48"/>
        <v>0</v>
      </c>
      <c r="AB38" s="172">
        <f t="shared" si="48"/>
        <v>0</v>
      </c>
      <c r="AC38" s="172">
        <f t="shared" si="48"/>
        <v>0</v>
      </c>
      <c r="AD38" s="172">
        <f t="shared" si="48"/>
        <v>0</v>
      </c>
      <c r="AE38" s="172">
        <f t="shared" si="48"/>
        <v>0</v>
      </c>
      <c r="AF38" s="172">
        <f t="shared" si="48"/>
        <v>0</v>
      </c>
      <c r="AG38" s="172">
        <f t="shared" si="48"/>
        <v>0</v>
      </c>
      <c r="AH38" s="173"/>
      <c r="AI38" s="174"/>
    </row>
    <row r="39" spans="1:35" s="175" customFormat="1" ht="39.6" customHeight="1" x14ac:dyDescent="0.25">
      <c r="A39" s="178"/>
      <c r="B39" s="443"/>
      <c r="C39" s="170" t="s">
        <v>21</v>
      </c>
      <c r="D39" s="171">
        <f t="shared" ref="D39" si="49">SUM(J39,L39,N39,P39,R39,T39,V39,X39,Z39,AB39,AD39,AF39)</f>
        <v>600</v>
      </c>
      <c r="E39" s="172">
        <f t="shared" ref="E39" si="50">J39</f>
        <v>0</v>
      </c>
      <c r="F39" s="172">
        <f t="shared" si="45"/>
        <v>0</v>
      </c>
      <c r="G39" s="172">
        <f t="shared" ref="G39" si="51">SUM(K39,M39,O39,Q39,S39,U39,W39,Y39,AA39,AC39,AE39,AG39)</f>
        <v>0</v>
      </c>
      <c r="H39" s="172">
        <f t="shared" si="46"/>
        <v>0</v>
      </c>
      <c r="I39" s="172">
        <f t="shared" si="47"/>
        <v>0</v>
      </c>
      <c r="J39" s="177">
        <v>0</v>
      </c>
      <c r="K39" s="177">
        <v>0</v>
      </c>
      <c r="L39" s="177">
        <v>0</v>
      </c>
      <c r="M39" s="177">
        <v>0</v>
      </c>
      <c r="N39" s="177">
        <v>0</v>
      </c>
      <c r="O39" s="177">
        <v>0</v>
      </c>
      <c r="P39" s="311">
        <v>0</v>
      </c>
      <c r="Q39" s="311">
        <v>0</v>
      </c>
      <c r="R39" s="177">
        <v>600</v>
      </c>
      <c r="S39" s="177">
        <v>0</v>
      </c>
      <c r="T39" s="177">
        <v>0</v>
      </c>
      <c r="U39" s="177">
        <v>0</v>
      </c>
      <c r="V39" s="177">
        <v>0</v>
      </c>
      <c r="W39" s="177">
        <v>0</v>
      </c>
      <c r="X39" s="177">
        <v>0</v>
      </c>
      <c r="Y39" s="177">
        <v>0</v>
      </c>
      <c r="Z39" s="177">
        <v>0</v>
      </c>
      <c r="AA39" s="177">
        <v>0</v>
      </c>
      <c r="AB39" s="177">
        <v>0</v>
      </c>
      <c r="AC39" s="177">
        <v>0</v>
      </c>
      <c r="AD39" s="177">
        <v>0</v>
      </c>
      <c r="AE39" s="177">
        <v>0</v>
      </c>
      <c r="AF39" s="177">
        <v>0</v>
      </c>
      <c r="AG39" s="177">
        <v>0</v>
      </c>
      <c r="AH39" s="173" t="s">
        <v>386</v>
      </c>
      <c r="AI39" s="174"/>
    </row>
    <row r="40" spans="1:35" s="175" customFormat="1" ht="39" customHeight="1" x14ac:dyDescent="0.25">
      <c r="A40" s="178"/>
      <c r="B40" s="443" t="s">
        <v>316</v>
      </c>
      <c r="C40" s="170" t="s">
        <v>20</v>
      </c>
      <c r="D40" s="171">
        <f t="shared" ref="D40:E40" si="52">D41</f>
        <v>68.399999999999991</v>
      </c>
      <c r="E40" s="172">
        <f t="shared" si="52"/>
        <v>52.949999999999996</v>
      </c>
      <c r="F40" s="172">
        <f t="shared" si="45"/>
        <v>52.949999999999996</v>
      </c>
      <c r="G40" s="172">
        <f>G41</f>
        <v>52.949999999999996</v>
      </c>
      <c r="H40" s="172">
        <f t="shared" si="46"/>
        <v>77.412280701754383</v>
      </c>
      <c r="I40" s="172">
        <f t="shared" si="47"/>
        <v>100</v>
      </c>
      <c r="J40" s="172">
        <f t="shared" ref="J40:AG40" si="53">J41</f>
        <v>0</v>
      </c>
      <c r="K40" s="172">
        <f t="shared" si="53"/>
        <v>0</v>
      </c>
      <c r="L40" s="172">
        <f t="shared" si="53"/>
        <v>3.4</v>
      </c>
      <c r="M40" s="172">
        <f t="shared" si="53"/>
        <v>3.4</v>
      </c>
      <c r="N40" s="172">
        <f t="shared" si="53"/>
        <v>0</v>
      </c>
      <c r="O40" s="172">
        <f t="shared" si="53"/>
        <v>0</v>
      </c>
      <c r="P40" s="171">
        <f t="shared" si="53"/>
        <v>0</v>
      </c>
      <c r="Q40" s="171">
        <f t="shared" si="53"/>
        <v>0</v>
      </c>
      <c r="R40" s="172">
        <f t="shared" si="53"/>
        <v>0</v>
      </c>
      <c r="S40" s="172">
        <f t="shared" si="53"/>
        <v>0</v>
      </c>
      <c r="T40" s="172">
        <f t="shared" si="53"/>
        <v>0</v>
      </c>
      <c r="U40" s="172">
        <f t="shared" si="53"/>
        <v>0</v>
      </c>
      <c r="V40" s="172">
        <f t="shared" si="53"/>
        <v>0</v>
      </c>
      <c r="W40" s="172">
        <f t="shared" si="53"/>
        <v>0</v>
      </c>
      <c r="X40" s="172">
        <f t="shared" si="53"/>
        <v>0</v>
      </c>
      <c r="Y40" s="172">
        <f t="shared" si="53"/>
        <v>0</v>
      </c>
      <c r="Z40" s="172">
        <f t="shared" si="53"/>
        <v>0</v>
      </c>
      <c r="AA40" s="172">
        <f t="shared" si="53"/>
        <v>0</v>
      </c>
      <c r="AB40" s="172">
        <f t="shared" si="53"/>
        <v>49.55</v>
      </c>
      <c r="AC40" s="172">
        <f t="shared" si="53"/>
        <v>49.55</v>
      </c>
      <c r="AD40" s="172">
        <f t="shared" si="53"/>
        <v>15.45</v>
      </c>
      <c r="AE40" s="172">
        <f t="shared" si="53"/>
        <v>0</v>
      </c>
      <c r="AF40" s="172">
        <f t="shared" si="53"/>
        <v>0</v>
      </c>
      <c r="AG40" s="172">
        <f t="shared" si="53"/>
        <v>0</v>
      </c>
      <c r="AH40" s="173" t="s">
        <v>383</v>
      </c>
      <c r="AI40" s="174"/>
    </row>
    <row r="41" spans="1:35" s="175" customFormat="1" ht="37.9" customHeight="1" x14ac:dyDescent="0.25">
      <c r="A41" s="178"/>
      <c r="B41" s="443"/>
      <c r="C41" s="170" t="s">
        <v>21</v>
      </c>
      <c r="D41" s="171">
        <f t="shared" ref="D41" si="54">SUM(J41,L41,N41,P41,R41,T41,V41,X41,Z41,AB41,AD41,AF41)</f>
        <v>68.399999999999991</v>
      </c>
      <c r="E41" s="172">
        <f>J41+L41+N41+P41+R41+T41+V41+X41+Z41+AB41</f>
        <v>52.949999999999996</v>
      </c>
      <c r="F41" s="172">
        <f t="shared" si="45"/>
        <v>52.949999999999996</v>
      </c>
      <c r="G41" s="172">
        <f t="shared" ref="G41" si="55">SUM(K41,M41,O41,Q41,S41,U41,W41,Y41,AA41,AC41,AE41,AG41)</f>
        <v>52.949999999999996</v>
      </c>
      <c r="H41" s="172">
        <f t="shared" si="46"/>
        <v>77.412280701754383</v>
      </c>
      <c r="I41" s="172">
        <f t="shared" si="47"/>
        <v>100</v>
      </c>
      <c r="J41" s="177">
        <v>0</v>
      </c>
      <c r="K41" s="177">
        <v>0</v>
      </c>
      <c r="L41" s="177">
        <v>3.4</v>
      </c>
      <c r="M41" s="177">
        <v>3.4</v>
      </c>
      <c r="N41" s="177">
        <v>0</v>
      </c>
      <c r="O41" s="177">
        <v>0</v>
      </c>
      <c r="P41" s="311">
        <v>0</v>
      </c>
      <c r="Q41" s="311">
        <v>0</v>
      </c>
      <c r="R41" s="177">
        <v>0</v>
      </c>
      <c r="S41" s="177">
        <v>0</v>
      </c>
      <c r="T41" s="177">
        <v>0</v>
      </c>
      <c r="U41" s="177">
        <v>0</v>
      </c>
      <c r="V41" s="177">
        <v>0</v>
      </c>
      <c r="W41" s="177">
        <v>0</v>
      </c>
      <c r="X41" s="177">
        <v>0</v>
      </c>
      <c r="Y41" s="177">
        <v>0</v>
      </c>
      <c r="Z41" s="177">
        <v>0</v>
      </c>
      <c r="AA41" s="177">
        <v>0</v>
      </c>
      <c r="AB41" s="177">
        <v>49.55</v>
      </c>
      <c r="AC41" s="177">
        <v>49.55</v>
      </c>
      <c r="AD41" s="177">
        <v>15.45</v>
      </c>
      <c r="AE41" s="177">
        <v>0</v>
      </c>
      <c r="AF41" s="177">
        <v>0</v>
      </c>
      <c r="AG41" s="177">
        <v>0</v>
      </c>
      <c r="AH41" s="173"/>
      <c r="AI41" s="174"/>
    </row>
    <row r="42" spans="1:35" s="175" customFormat="1" ht="60" customHeight="1" x14ac:dyDescent="0.25">
      <c r="A42" s="444"/>
      <c r="B42" s="446" t="s">
        <v>317</v>
      </c>
      <c r="C42" s="170" t="s">
        <v>20</v>
      </c>
      <c r="D42" s="171">
        <f>D43</f>
        <v>2992.1</v>
      </c>
      <c r="E42" s="171">
        <f t="shared" ref="E42:G42" si="56">E43</f>
        <v>2992.1</v>
      </c>
      <c r="F42" s="171">
        <f t="shared" si="56"/>
        <v>2992.1</v>
      </c>
      <c r="G42" s="171">
        <f t="shared" si="56"/>
        <v>2992.1</v>
      </c>
      <c r="H42" s="172">
        <f t="shared" si="46"/>
        <v>100</v>
      </c>
      <c r="I42" s="172">
        <f t="shared" si="47"/>
        <v>100</v>
      </c>
      <c r="J42" s="177">
        <f t="shared" ref="J42:AF42" si="57">J43</f>
        <v>2992.1</v>
      </c>
      <c r="K42" s="177">
        <v>2992.1</v>
      </c>
      <c r="L42" s="177">
        <f t="shared" si="57"/>
        <v>0</v>
      </c>
      <c r="M42" s="177">
        <f t="shared" si="57"/>
        <v>0</v>
      </c>
      <c r="N42" s="177">
        <f t="shared" si="57"/>
        <v>0</v>
      </c>
      <c r="O42" s="177">
        <f t="shared" si="57"/>
        <v>0</v>
      </c>
      <c r="P42" s="311">
        <f t="shared" si="57"/>
        <v>0</v>
      </c>
      <c r="Q42" s="311">
        <f t="shared" si="57"/>
        <v>0</v>
      </c>
      <c r="R42" s="177">
        <f t="shared" si="57"/>
        <v>0</v>
      </c>
      <c r="S42" s="177">
        <f t="shared" si="57"/>
        <v>0</v>
      </c>
      <c r="T42" s="177">
        <f t="shared" si="57"/>
        <v>0</v>
      </c>
      <c r="U42" s="177">
        <f t="shared" si="57"/>
        <v>0</v>
      </c>
      <c r="V42" s="177">
        <f t="shared" si="57"/>
        <v>0</v>
      </c>
      <c r="W42" s="177">
        <f t="shared" si="57"/>
        <v>0</v>
      </c>
      <c r="X42" s="177">
        <f t="shared" si="57"/>
        <v>0</v>
      </c>
      <c r="Y42" s="177">
        <f t="shared" si="57"/>
        <v>0</v>
      </c>
      <c r="Z42" s="177">
        <f t="shared" si="57"/>
        <v>0</v>
      </c>
      <c r="AA42" s="177">
        <f t="shared" si="57"/>
        <v>0</v>
      </c>
      <c r="AB42" s="177">
        <f t="shared" si="57"/>
        <v>0</v>
      </c>
      <c r="AC42" s="177">
        <f t="shared" si="57"/>
        <v>0</v>
      </c>
      <c r="AD42" s="177">
        <f t="shared" si="57"/>
        <v>0</v>
      </c>
      <c r="AE42" s="177">
        <f t="shared" si="57"/>
        <v>0</v>
      </c>
      <c r="AF42" s="177">
        <f t="shared" si="57"/>
        <v>0</v>
      </c>
      <c r="AG42" s="177">
        <f>AG43</f>
        <v>0</v>
      </c>
      <c r="AH42" s="173"/>
      <c r="AI42" s="174"/>
    </row>
    <row r="43" spans="1:35" s="175" customFormat="1" ht="100.15" customHeight="1" x14ac:dyDescent="0.25">
      <c r="A43" s="445"/>
      <c r="B43" s="447"/>
      <c r="C43" s="170" t="s">
        <v>21</v>
      </c>
      <c r="D43" s="171">
        <f>SUM(J43,L43,N43,P43,R43,T43,V43,X43,Z43,AB43,AD43,AF43)</f>
        <v>2992.1</v>
      </c>
      <c r="E43" s="172">
        <f>J43+L43+N43+P43+R43+T43+V43+X43+Z43</f>
        <v>2992.1</v>
      </c>
      <c r="F43" s="172">
        <f>G43</f>
        <v>2992.1</v>
      </c>
      <c r="G43" s="172">
        <f>SUM(K43,M43,O43,Q43,S43,U43,W43,Y43,AA43,AC43,AE43,AG43)</f>
        <v>2992.1</v>
      </c>
      <c r="H43" s="172">
        <f>IFERROR(G43/D43*100,0)</f>
        <v>100</v>
      </c>
      <c r="I43" s="172">
        <f>IFERROR(G43/E43*100,0)</f>
        <v>100</v>
      </c>
      <c r="J43" s="177">
        <v>2992.1</v>
      </c>
      <c r="K43" s="177">
        <v>2992.1</v>
      </c>
      <c r="L43" s="177">
        <v>0</v>
      </c>
      <c r="M43" s="177">
        <v>0</v>
      </c>
      <c r="N43" s="177">
        <v>0</v>
      </c>
      <c r="O43" s="177">
        <v>0</v>
      </c>
      <c r="P43" s="311">
        <v>0</v>
      </c>
      <c r="Q43" s="311">
        <v>0</v>
      </c>
      <c r="R43" s="177">
        <v>0</v>
      </c>
      <c r="S43" s="177">
        <v>0</v>
      </c>
      <c r="T43" s="177">
        <v>0</v>
      </c>
      <c r="U43" s="177">
        <v>0</v>
      </c>
      <c r="V43" s="177">
        <v>0</v>
      </c>
      <c r="W43" s="177">
        <v>0</v>
      </c>
      <c r="X43" s="177">
        <v>0</v>
      </c>
      <c r="Y43" s="177">
        <v>0</v>
      </c>
      <c r="Z43" s="177">
        <v>0</v>
      </c>
      <c r="AA43" s="177">
        <v>0</v>
      </c>
      <c r="AB43" s="177">
        <v>0</v>
      </c>
      <c r="AC43" s="177">
        <v>0</v>
      </c>
      <c r="AD43" s="177">
        <v>0</v>
      </c>
      <c r="AE43" s="177">
        <v>0</v>
      </c>
      <c r="AF43" s="177">
        <v>0</v>
      </c>
      <c r="AG43" s="177">
        <v>0</v>
      </c>
      <c r="AH43" s="173"/>
      <c r="AI43" s="174"/>
    </row>
    <row r="44" spans="1:35" s="22" customFormat="1" ht="38.25" customHeight="1" x14ac:dyDescent="0.25">
      <c r="A44" s="519"/>
      <c r="B44" s="684" t="s">
        <v>318</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0"/>
      <c r="AI44" s="20"/>
    </row>
    <row r="45" spans="1:35" s="22" customFormat="1" ht="49.9" customHeight="1" x14ac:dyDescent="0.25">
      <c r="A45" s="520"/>
      <c r="B45" s="685"/>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375">
        <v>5671.4</v>
      </c>
      <c r="AA45" s="67">
        <v>5660.9</v>
      </c>
      <c r="AB45" s="67">
        <v>3970.3620000000001</v>
      </c>
      <c r="AC45" s="67">
        <v>3970.3609999999999</v>
      </c>
      <c r="AD45" s="67">
        <v>3402.46</v>
      </c>
      <c r="AE45" s="67">
        <v>0</v>
      </c>
      <c r="AF45" s="67">
        <v>10711.73</v>
      </c>
      <c r="AG45" s="63">
        <v>0</v>
      </c>
      <c r="AH45" s="64" t="s">
        <v>385</v>
      </c>
      <c r="AI45" s="20"/>
    </row>
    <row r="46" spans="1:35" s="22" customFormat="1" ht="45.75" customHeight="1" x14ac:dyDescent="0.25">
      <c r="A46" s="521"/>
      <c r="B46" s="685"/>
      <c r="C46" s="375"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547"/>
      <c r="B47" s="686" t="s">
        <v>319</v>
      </c>
      <c r="C47" s="183" t="s">
        <v>20</v>
      </c>
      <c r="D47" s="184">
        <f>D48</f>
        <v>594.99900000000002</v>
      </c>
      <c r="E47" s="184">
        <f t="shared" ref="E47:G47" si="62">E48</f>
        <v>594.99899999999991</v>
      </c>
      <c r="F47" s="184">
        <f t="shared" si="62"/>
        <v>300.99799999999999</v>
      </c>
      <c r="G47" s="184">
        <f t="shared" si="62"/>
        <v>300.99799999999999</v>
      </c>
      <c r="H47" s="184">
        <f t="shared" ref="H47" si="63">IFERROR(G47/D47*100,0)</f>
        <v>50.587984181486014</v>
      </c>
      <c r="I47" s="184">
        <f t="shared" ref="I47" si="64">IFERROR(G47/E47*100,0)</f>
        <v>50.587984181486021</v>
      </c>
      <c r="J47" s="185">
        <f>J48</f>
        <v>0</v>
      </c>
      <c r="K47" s="185">
        <f t="shared" ref="K47:AG47" si="65">K48</f>
        <v>0</v>
      </c>
      <c r="L47" s="185">
        <f t="shared" si="65"/>
        <v>0</v>
      </c>
      <c r="M47" s="185">
        <f t="shared" si="65"/>
        <v>0</v>
      </c>
      <c r="N47" s="185">
        <f t="shared" si="65"/>
        <v>0</v>
      </c>
      <c r="O47" s="185">
        <f t="shared" si="65"/>
        <v>0</v>
      </c>
      <c r="P47" s="185">
        <f t="shared" si="65"/>
        <v>3.8969999999999998</v>
      </c>
      <c r="Q47" s="185">
        <f t="shared" si="65"/>
        <v>3.8969999999999998</v>
      </c>
      <c r="R47" s="185">
        <f t="shared" si="65"/>
        <v>311.24599999999998</v>
      </c>
      <c r="S47" s="185">
        <f t="shared" si="65"/>
        <v>17.245000000000001</v>
      </c>
      <c r="T47" s="185">
        <f t="shared" si="65"/>
        <v>123.13200000000001</v>
      </c>
      <c r="U47" s="185">
        <f t="shared" si="65"/>
        <v>123.13200000000001</v>
      </c>
      <c r="V47" s="185">
        <f t="shared" si="65"/>
        <v>78.316000000000003</v>
      </c>
      <c r="W47" s="185">
        <f t="shared" si="65"/>
        <v>78.316000000000003</v>
      </c>
      <c r="X47" s="185">
        <f t="shared" si="65"/>
        <v>78.408000000000001</v>
      </c>
      <c r="Y47" s="185">
        <f t="shared" si="65"/>
        <v>78.408000000000001</v>
      </c>
      <c r="Z47" s="185">
        <f t="shared" si="65"/>
        <v>0</v>
      </c>
      <c r="AA47" s="185">
        <f t="shared" si="65"/>
        <v>0</v>
      </c>
      <c r="AB47" s="185">
        <f t="shared" si="65"/>
        <v>0</v>
      </c>
      <c r="AC47" s="185">
        <f t="shared" si="65"/>
        <v>0</v>
      </c>
      <c r="AD47" s="185">
        <f t="shared" si="65"/>
        <v>0</v>
      </c>
      <c r="AE47" s="185">
        <f t="shared" si="65"/>
        <v>0</v>
      </c>
      <c r="AF47" s="185">
        <f t="shared" si="65"/>
        <v>0</v>
      </c>
      <c r="AG47" s="185">
        <f t="shared" si="65"/>
        <v>0</v>
      </c>
      <c r="AH47" s="64" t="s">
        <v>382</v>
      </c>
      <c r="AI47" s="20"/>
    </row>
    <row r="48" spans="1:35" s="22" customFormat="1" ht="52.9" customHeight="1" x14ac:dyDescent="0.25">
      <c r="A48" s="548"/>
      <c r="B48" s="687"/>
      <c r="C48" s="186" t="s">
        <v>21</v>
      </c>
      <c r="D48" s="187">
        <f>SUM(J48,L48,N48,P48,R48,T48,V48,X48,Z48,AB48,AD48,AF48)</f>
        <v>594.99900000000002</v>
      </c>
      <c r="E48" s="187">
        <f>J48+L48+N48+P48+R48+V48+T48+X48+Z48+AB48</f>
        <v>594.99899999999991</v>
      </c>
      <c r="F48" s="187">
        <f>G48</f>
        <v>300.99799999999999</v>
      </c>
      <c r="G48" s="187">
        <f>SUM(K48,M48,O48,Q48,S48,U48,W48,Y48,AA48,AC48,AE48,AG48)</f>
        <v>300.99799999999999</v>
      </c>
      <c r="H48" s="187">
        <f>IFERROR(G48/D48*100,0)</f>
        <v>50.587984181486014</v>
      </c>
      <c r="I48" s="187">
        <f>IFERROR(G48/E48*100,0)</f>
        <v>50.587984181486021</v>
      </c>
      <c r="J48" s="193">
        <f>J50+J52</f>
        <v>0</v>
      </c>
      <c r="K48" s="193">
        <f t="shared" ref="K48:AG48" si="66">K50+K52</f>
        <v>0</v>
      </c>
      <c r="L48" s="193">
        <f t="shared" si="66"/>
        <v>0</v>
      </c>
      <c r="M48" s="193">
        <f t="shared" si="66"/>
        <v>0</v>
      </c>
      <c r="N48" s="193">
        <f t="shared" si="66"/>
        <v>0</v>
      </c>
      <c r="O48" s="193">
        <f t="shared" si="66"/>
        <v>0</v>
      </c>
      <c r="P48" s="193">
        <f t="shared" si="66"/>
        <v>3.8969999999999998</v>
      </c>
      <c r="Q48" s="193">
        <f t="shared" si="66"/>
        <v>3.8969999999999998</v>
      </c>
      <c r="R48" s="193">
        <f t="shared" si="66"/>
        <v>311.24599999999998</v>
      </c>
      <c r="S48" s="193">
        <f t="shared" si="66"/>
        <v>17.245000000000001</v>
      </c>
      <c r="T48" s="193">
        <f t="shared" si="66"/>
        <v>123.13200000000001</v>
      </c>
      <c r="U48" s="193">
        <f t="shared" si="66"/>
        <v>123.13200000000001</v>
      </c>
      <c r="V48" s="193">
        <f t="shared" si="66"/>
        <v>78.316000000000003</v>
      </c>
      <c r="W48" s="193">
        <v>78.316000000000003</v>
      </c>
      <c r="X48" s="193">
        <f t="shared" si="66"/>
        <v>78.408000000000001</v>
      </c>
      <c r="Y48" s="193">
        <v>78.408000000000001</v>
      </c>
      <c r="Z48" s="193">
        <f t="shared" si="66"/>
        <v>0</v>
      </c>
      <c r="AA48" s="193">
        <f t="shared" si="66"/>
        <v>0</v>
      </c>
      <c r="AB48" s="193">
        <f t="shared" si="66"/>
        <v>0</v>
      </c>
      <c r="AC48" s="193">
        <f t="shared" si="66"/>
        <v>0</v>
      </c>
      <c r="AD48" s="193">
        <f t="shared" si="66"/>
        <v>0</v>
      </c>
      <c r="AE48" s="193">
        <f t="shared" si="66"/>
        <v>0</v>
      </c>
      <c r="AF48" s="193">
        <f t="shared" si="66"/>
        <v>0</v>
      </c>
      <c r="AG48" s="193">
        <f t="shared" si="66"/>
        <v>0</v>
      </c>
      <c r="AH48" s="60"/>
      <c r="AI48" s="20"/>
    </row>
    <row r="49" spans="1:35" s="22" customFormat="1" ht="101.45" customHeight="1" x14ac:dyDescent="0.25">
      <c r="A49" s="531"/>
      <c r="B49" s="688" t="s">
        <v>320</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388</v>
      </c>
      <c r="AI49" s="20"/>
    </row>
    <row r="50" spans="1:35" s="22" customFormat="1" ht="37.9" customHeight="1" x14ac:dyDescent="0.25">
      <c r="A50" s="532"/>
      <c r="B50" s="689"/>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690" t="s">
        <v>321</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690"/>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389</v>
      </c>
      <c r="AI52" s="20"/>
    </row>
    <row r="53" spans="1:35" s="18" customFormat="1" ht="21.75" customHeight="1" x14ac:dyDescent="0.25">
      <c r="A53" s="163"/>
      <c r="B53" s="511" t="s">
        <v>32</v>
      </c>
      <c r="C53" s="512"/>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3"/>
      <c r="AH53" s="46"/>
      <c r="AI53" s="19"/>
    </row>
    <row r="54" spans="1:35" s="30" customFormat="1" ht="27" customHeight="1" x14ac:dyDescent="0.25">
      <c r="A54" s="675" t="s">
        <v>322</v>
      </c>
      <c r="B54" s="677" t="s">
        <v>34</v>
      </c>
      <c r="C54" s="183" t="s">
        <v>20</v>
      </c>
      <c r="D54" s="184">
        <f>D55</f>
        <v>27364.999</v>
      </c>
      <c r="E54" s="184">
        <f>E55</f>
        <v>23584.741999999998</v>
      </c>
      <c r="F54" s="184">
        <f>F55</f>
        <v>21637.156000000003</v>
      </c>
      <c r="G54" s="184">
        <f t="shared" ref="G54" si="77">G55</f>
        <v>21637.156000000003</v>
      </c>
      <c r="H54" s="184">
        <f t="shared" ref="H54:H61" si="78">IFERROR(G54/D54*100,0)</f>
        <v>79.068725710532647</v>
      </c>
      <c r="I54" s="184">
        <f t="shared" ref="I54:I61" si="79">IFERROR(G54/E54*100,0)</f>
        <v>91.742178057321993</v>
      </c>
      <c r="J54" s="185">
        <f t="shared" ref="J54:AG54" si="80">SUM(J55:J55)</f>
        <v>4021.8620000000001</v>
      </c>
      <c r="K54" s="185">
        <f t="shared" si="80"/>
        <v>1653.05</v>
      </c>
      <c r="L54" s="185">
        <f t="shared" si="80"/>
        <v>2341.7439999999997</v>
      </c>
      <c r="M54" s="185">
        <f t="shared" si="80"/>
        <v>2275.7719999999999</v>
      </c>
      <c r="N54" s="185">
        <f t="shared" si="80"/>
        <v>1578.9070000000002</v>
      </c>
      <c r="O54" s="185">
        <f t="shared" si="80"/>
        <v>1799.63</v>
      </c>
      <c r="P54" s="185">
        <f t="shared" si="80"/>
        <v>3345.3140000000003</v>
      </c>
      <c r="Q54" s="185">
        <f t="shared" si="80"/>
        <v>1604.3829999999998</v>
      </c>
      <c r="R54" s="185">
        <f t="shared" si="80"/>
        <v>2283.3710000000001</v>
      </c>
      <c r="S54" s="185">
        <f t="shared" si="80"/>
        <v>1878.6780000000001</v>
      </c>
      <c r="T54" s="185">
        <f t="shared" si="80"/>
        <v>1456.636</v>
      </c>
      <c r="U54" s="185">
        <f t="shared" si="80"/>
        <v>3360.2440000000001</v>
      </c>
      <c r="V54" s="185">
        <f t="shared" si="80"/>
        <v>2871.078</v>
      </c>
      <c r="W54" s="185">
        <f t="shared" si="80"/>
        <v>2240.4299999999998</v>
      </c>
      <c r="X54" s="185">
        <f t="shared" si="80"/>
        <v>2130.2159999999999</v>
      </c>
      <c r="Y54" s="185">
        <f t="shared" si="80"/>
        <v>1763.9829999999999</v>
      </c>
      <c r="Z54" s="185">
        <f t="shared" si="80"/>
        <v>1578.9070000000002</v>
      </c>
      <c r="AA54" s="185">
        <f t="shared" si="80"/>
        <v>2812.681</v>
      </c>
      <c r="AB54" s="185">
        <f t="shared" si="80"/>
        <v>1976.7070000000001</v>
      </c>
      <c r="AC54" s="185">
        <f t="shared" si="80"/>
        <v>2248.3050000000003</v>
      </c>
      <c r="AD54" s="185">
        <f t="shared" si="80"/>
        <v>1868.5070000000001</v>
      </c>
      <c r="AE54" s="185">
        <f t="shared" si="80"/>
        <v>0</v>
      </c>
      <c r="AF54" s="185">
        <f t="shared" si="80"/>
        <v>1911.75</v>
      </c>
      <c r="AG54" s="185">
        <f t="shared" si="80"/>
        <v>0</v>
      </c>
      <c r="AH54" s="64" t="s">
        <v>443</v>
      </c>
      <c r="AI54" s="29"/>
    </row>
    <row r="55" spans="1:35" s="31" customFormat="1" ht="54" customHeight="1" x14ac:dyDescent="0.25">
      <c r="A55" s="676"/>
      <c r="B55" s="678"/>
      <c r="C55" s="186" t="s">
        <v>21</v>
      </c>
      <c r="D55" s="187">
        <f>SUM(J55,L55,N55,P55,R55,T55,V55,X55,Z55,AB55,AD55,AF55)</f>
        <v>27364.999</v>
      </c>
      <c r="E55" s="187">
        <f>J55+L55+N55+P55+R55+T55+V55+X55+Z55+AB55</f>
        <v>23584.741999999998</v>
      </c>
      <c r="F55" s="187">
        <f>K55+M55+O55+Q55+S55+U55+W55+Y55+AA55+AC55</f>
        <v>21637.156000000003</v>
      </c>
      <c r="G55" s="187">
        <f>SUM(K55,M55,O55,Q55,S55,U55,W55,Y55,AA55,AC55,AE55,AG55)</f>
        <v>21637.156000000003</v>
      </c>
      <c r="H55" s="187">
        <f t="shared" si="78"/>
        <v>79.068725710532647</v>
      </c>
      <c r="I55" s="187">
        <f t="shared" si="79"/>
        <v>91.742178057321993</v>
      </c>
      <c r="J55" s="193">
        <f>J57+J59+J61</f>
        <v>4021.8620000000001</v>
      </c>
      <c r="K55" s="193">
        <f t="shared" ref="K55:AG55" si="81">K57+K59+K61</f>
        <v>1653.05</v>
      </c>
      <c r="L55" s="193">
        <f t="shared" si="81"/>
        <v>2341.7439999999997</v>
      </c>
      <c r="M55" s="193">
        <f t="shared" si="81"/>
        <v>2275.7719999999999</v>
      </c>
      <c r="N55" s="193">
        <f t="shared" si="81"/>
        <v>1578.9070000000002</v>
      </c>
      <c r="O55" s="193">
        <f t="shared" si="81"/>
        <v>1799.63</v>
      </c>
      <c r="P55" s="193">
        <f t="shared" si="81"/>
        <v>3345.3140000000003</v>
      </c>
      <c r="Q55" s="193">
        <f t="shared" si="81"/>
        <v>1604.3829999999998</v>
      </c>
      <c r="R55" s="193">
        <f t="shared" si="81"/>
        <v>2283.3710000000001</v>
      </c>
      <c r="S55" s="193">
        <f t="shared" si="81"/>
        <v>1878.6780000000001</v>
      </c>
      <c r="T55" s="193">
        <f t="shared" si="81"/>
        <v>1456.636</v>
      </c>
      <c r="U55" s="193">
        <f t="shared" si="81"/>
        <v>3360.2440000000001</v>
      </c>
      <c r="V55" s="193">
        <f t="shared" si="81"/>
        <v>2871.078</v>
      </c>
      <c r="W55" s="193">
        <f t="shared" si="81"/>
        <v>2240.4299999999998</v>
      </c>
      <c r="X55" s="193">
        <f t="shared" si="81"/>
        <v>2130.2159999999999</v>
      </c>
      <c r="Y55" s="193">
        <f t="shared" si="81"/>
        <v>1763.9829999999999</v>
      </c>
      <c r="Z55" s="193">
        <f t="shared" si="81"/>
        <v>1578.9070000000002</v>
      </c>
      <c r="AA55" s="193">
        <f t="shared" si="81"/>
        <v>2812.681</v>
      </c>
      <c r="AB55" s="193">
        <f t="shared" si="81"/>
        <v>1976.7070000000001</v>
      </c>
      <c r="AC55" s="193">
        <f t="shared" si="81"/>
        <v>2248.3050000000003</v>
      </c>
      <c r="AD55" s="193">
        <f t="shared" si="81"/>
        <v>1868.5070000000001</v>
      </c>
      <c r="AE55" s="193">
        <f t="shared" si="81"/>
        <v>0</v>
      </c>
      <c r="AF55" s="193">
        <f t="shared" si="81"/>
        <v>1911.75</v>
      </c>
      <c r="AG55" s="193">
        <f t="shared" si="81"/>
        <v>0</v>
      </c>
      <c r="AH55" s="43"/>
      <c r="AI55" s="29"/>
    </row>
    <row r="56" spans="1:35" s="10" customFormat="1" ht="30.75" customHeight="1" x14ac:dyDescent="0.25">
      <c r="A56" s="508"/>
      <c r="B56" s="623" t="s">
        <v>323</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440</v>
      </c>
    </row>
    <row r="57" spans="1:35" s="10" customFormat="1" ht="27" customHeight="1" x14ac:dyDescent="0.25">
      <c r="A57" s="509"/>
      <c r="B57" s="624"/>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508"/>
      <c r="B58" s="622" t="s">
        <v>324</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439</v>
      </c>
    </row>
    <row r="59" spans="1:35" s="10" customFormat="1" ht="78" customHeight="1" x14ac:dyDescent="0.25">
      <c r="A59" s="509"/>
      <c r="B59" s="622"/>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508"/>
      <c r="B60" s="622" t="s">
        <v>325</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441</v>
      </c>
    </row>
    <row r="61" spans="1:35" s="10" customFormat="1" ht="48.6" customHeight="1" x14ac:dyDescent="0.25">
      <c r="A61" s="509"/>
      <c r="B61" s="622"/>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133BB3F8-8DD4-4AEF-8CD6-A5FB14681329}" scale="75" state="hidden">
      <pane xSplit="6" ySplit="7" topLeftCell="G8" activePane="bottomRight" state="frozen"/>
      <selection pane="bottomRight" activeCell="F6" sqref="F6"/>
      <pageMargins left="0.7" right="0.7" top="0.75" bottom="0.75" header="0.3" footer="0.3"/>
      <pageSetup paperSize="9" orientation="portrait" r:id="rId1"/>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
    </customSheetView>
    <customSheetView guid="{60A1F930-4BEC-460A-8E14-01E47F6DD055}" scale="75">
      <pane xSplit="6" ySplit="4" topLeftCell="G47" activePane="bottomRight" state="frozen"/>
      <selection pane="bottomRight" activeCell="AH54" sqref="AH54"/>
      <pageMargins left="0.7" right="0.7" top="0.75" bottom="0.75" header="0.3" footer="0.3"/>
      <pageSetup paperSize="9" orientation="portrait" r:id="rId3"/>
    </customSheetView>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4"/>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5"/>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6"/>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7"/>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8"/>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9"/>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10"/>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1"/>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13"/>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6"/>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7"/>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8"/>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20"/>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1"/>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22"/>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23"/>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24"/>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25"/>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26"/>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27"/>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28"/>
    </customSheetView>
  </customSheetViews>
  <mergeCells count="57">
    <mergeCell ref="A58:A59"/>
    <mergeCell ref="B58:B59"/>
    <mergeCell ref="A60:A61"/>
    <mergeCell ref="B60:B61"/>
    <mergeCell ref="B51:B52"/>
    <mergeCell ref="B53:AG53"/>
    <mergeCell ref="A54:A55"/>
    <mergeCell ref="B54:B55"/>
    <mergeCell ref="A56:A57"/>
    <mergeCell ref="B56:B57"/>
    <mergeCell ref="A44:A46"/>
    <mergeCell ref="B44:B46"/>
    <mergeCell ref="A47:A48"/>
    <mergeCell ref="B47:B48"/>
    <mergeCell ref="A49:A50"/>
    <mergeCell ref="B49:B50"/>
    <mergeCell ref="B28:AG28"/>
    <mergeCell ref="A14:A15"/>
    <mergeCell ref="B14:B15"/>
    <mergeCell ref="A16:A17"/>
    <mergeCell ref="B16:B17"/>
    <mergeCell ref="A18:A19"/>
    <mergeCell ref="B18:B19"/>
    <mergeCell ref="B20:AG20"/>
    <mergeCell ref="A21:A22"/>
    <mergeCell ref="B21:B22"/>
    <mergeCell ref="B23:AG23"/>
    <mergeCell ref="A24:A25"/>
    <mergeCell ref="B24:B2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F6" sqref="F6"/>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92"/>
      <c r="C3" s="567" t="s">
        <v>376</v>
      </c>
      <c r="D3" s="567"/>
      <c r="E3" s="567"/>
      <c r="F3" s="567"/>
      <c r="G3" s="567"/>
      <c r="H3" s="567"/>
      <c r="I3" s="567"/>
      <c r="J3" s="567"/>
      <c r="K3" s="567"/>
      <c r="L3" s="567"/>
      <c r="M3" s="567"/>
      <c r="N3" s="567"/>
      <c r="O3" s="567"/>
      <c r="P3" s="567"/>
      <c r="Q3" s="567"/>
      <c r="R3" s="567"/>
      <c r="S3" s="567"/>
      <c r="T3" s="94"/>
      <c r="U3" s="94"/>
      <c r="V3" s="94"/>
      <c r="W3" s="94"/>
      <c r="X3" s="94"/>
      <c r="Y3" s="94"/>
      <c r="Z3" s="94"/>
      <c r="AA3" s="94"/>
      <c r="AB3" s="94"/>
      <c r="AC3" s="94"/>
      <c r="AD3" s="95"/>
      <c r="AE3" s="95"/>
      <c r="AF3" s="95"/>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94"/>
      <c r="E5" s="594"/>
      <c r="F5" s="594"/>
      <c r="G5" s="594"/>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t="s">
        <v>381</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9"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461"/>
    </row>
    <row r="9" spans="1:35" s="22" customFormat="1" ht="38.25" customHeight="1" x14ac:dyDescent="0.25">
      <c r="A9" s="582"/>
      <c r="B9" s="560"/>
      <c r="C9" s="463"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583"/>
      <c r="B10" s="561"/>
      <c r="C10" s="463"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596" t="s">
        <v>172</v>
      </c>
      <c r="C11" s="597"/>
      <c r="D11" s="597"/>
      <c r="E11" s="597"/>
      <c r="F11" s="597"/>
      <c r="G11" s="597"/>
      <c r="H11" s="597"/>
      <c r="I11" s="597"/>
      <c r="J11" s="597"/>
      <c r="K11" s="597"/>
      <c r="L11" s="597"/>
      <c r="M11" s="597"/>
      <c r="N11" s="597"/>
      <c r="O11" s="597"/>
      <c r="P11" s="597"/>
      <c r="Q11" s="597"/>
      <c r="R11" s="597"/>
      <c r="S11" s="597"/>
      <c r="T11" s="597"/>
      <c r="U11" s="597"/>
      <c r="V11" s="597"/>
      <c r="W11" s="597"/>
      <c r="X11" s="597"/>
      <c r="Y11" s="597"/>
      <c r="Z11" s="597"/>
      <c r="AA11" s="597"/>
      <c r="AB11" s="597"/>
      <c r="AC11" s="597"/>
      <c r="AD11" s="597"/>
      <c r="AE11" s="597"/>
      <c r="AF11" s="597"/>
      <c r="AG11" s="598"/>
      <c r="AH11" s="75"/>
    </row>
    <row r="12" spans="1:35" s="21" customFormat="1" ht="37.15" customHeight="1" x14ac:dyDescent="0.25">
      <c r="A12" s="581" t="s">
        <v>152</v>
      </c>
      <c r="B12" s="559"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710"/>
      <c r="AI12" s="23"/>
    </row>
    <row r="13" spans="1:35" s="21" customFormat="1" ht="36.75" customHeight="1" x14ac:dyDescent="0.25">
      <c r="A13" s="582"/>
      <c r="B13" s="560"/>
      <c r="C13" s="463"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710"/>
      <c r="AI13" s="23"/>
    </row>
    <row r="14" spans="1:35" s="21" customFormat="1" ht="42.75" customHeight="1" x14ac:dyDescent="0.25">
      <c r="A14" s="583"/>
      <c r="B14" s="561"/>
      <c r="C14" s="463"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710"/>
      <c r="AI14" s="23"/>
    </row>
    <row r="15" spans="1:35" s="21" customFormat="1" ht="31.15" customHeight="1" x14ac:dyDescent="0.25">
      <c r="A15" s="706" t="s">
        <v>277</v>
      </c>
      <c r="B15" s="691" t="s">
        <v>343</v>
      </c>
      <c r="C15" s="462"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709" t="s">
        <v>377</v>
      </c>
      <c r="AI15" s="23"/>
    </row>
    <row r="16" spans="1:35" s="21" customFormat="1" ht="36.75" customHeight="1" x14ac:dyDescent="0.25">
      <c r="A16" s="707"/>
      <c r="B16" s="700"/>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709"/>
      <c r="AI16" s="23"/>
    </row>
    <row r="17" spans="1:35" s="21" customFormat="1" ht="36.75" customHeight="1" x14ac:dyDescent="0.25">
      <c r="A17" s="708"/>
      <c r="B17" s="692"/>
      <c r="C17" s="463"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709"/>
      <c r="AI17" s="23"/>
    </row>
    <row r="18" spans="1:35" s="100" customFormat="1" ht="409.5" customHeight="1" x14ac:dyDescent="0.25">
      <c r="A18" s="665" t="s">
        <v>344</v>
      </c>
      <c r="B18" s="691" t="s">
        <v>345</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693" t="s">
        <v>401</v>
      </c>
      <c r="AI18" s="386"/>
    </row>
    <row r="19" spans="1:35" s="33" customFormat="1" ht="324" customHeight="1" x14ac:dyDescent="0.25">
      <c r="A19" s="533"/>
      <c r="B19" s="700"/>
      <c r="C19" s="463"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703"/>
      <c r="AI19" s="386"/>
    </row>
    <row r="20" spans="1:35" s="33" customFormat="1" ht="178.5" customHeight="1" x14ac:dyDescent="0.25">
      <c r="A20" s="540"/>
      <c r="B20" s="692"/>
      <c r="C20" s="463"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694"/>
      <c r="AI20" s="386"/>
    </row>
    <row r="21" spans="1:35" s="134" customFormat="1" ht="21" customHeight="1" x14ac:dyDescent="0.25">
      <c r="A21" s="132" t="s">
        <v>153</v>
      </c>
      <c r="B21" s="596" t="s">
        <v>32</v>
      </c>
      <c r="C21" s="597"/>
      <c r="D21" s="597"/>
      <c r="E21" s="597"/>
      <c r="F21" s="597"/>
      <c r="G21" s="597"/>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c r="AE21" s="597"/>
      <c r="AF21" s="597"/>
      <c r="AG21" s="598"/>
      <c r="AH21" s="43"/>
      <c r="AI21" s="133"/>
    </row>
    <row r="22" spans="1:35" s="21" customFormat="1" ht="57.75" customHeight="1" x14ac:dyDescent="0.25">
      <c r="A22" s="581" t="s">
        <v>38</v>
      </c>
      <c r="B22" s="559"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693" t="s">
        <v>402</v>
      </c>
      <c r="AI22" s="20"/>
    </row>
    <row r="23" spans="1:35" s="22" customFormat="1" ht="44.25" customHeight="1" x14ac:dyDescent="0.25">
      <c r="A23" s="583"/>
      <c r="B23" s="561"/>
      <c r="C23" s="463"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703"/>
      <c r="AI23" s="20"/>
    </row>
    <row r="24" spans="1:35" s="100" customFormat="1" ht="34.5" customHeight="1" x14ac:dyDescent="0.25">
      <c r="A24" s="610"/>
      <c r="B24" s="704"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703"/>
      <c r="AI24" s="106"/>
    </row>
    <row r="25" spans="1:35" s="33" customFormat="1" ht="43.5" customHeight="1" x14ac:dyDescent="0.25">
      <c r="A25" s="612"/>
      <c r="B25" s="705"/>
      <c r="C25" s="463"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694"/>
      <c r="AI25" s="106"/>
    </row>
    <row r="26" spans="1:35" s="32" customFormat="1" ht="15.75" customHeight="1" x14ac:dyDescent="0.25">
      <c r="A26" s="135" t="s">
        <v>156</v>
      </c>
      <c r="B26" s="596" t="s">
        <v>32</v>
      </c>
      <c r="C26" s="597"/>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597"/>
      <c r="AG26" s="598"/>
    </row>
    <row r="27" spans="1:35" s="21" customFormat="1" ht="53.25" customHeight="1" x14ac:dyDescent="0.25">
      <c r="A27" s="581" t="s">
        <v>157</v>
      </c>
      <c r="B27" s="559"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462"/>
      <c r="AI27" s="20"/>
    </row>
    <row r="28" spans="1:35" s="22" customFormat="1" ht="45" customHeight="1" x14ac:dyDescent="0.25">
      <c r="A28" s="582"/>
      <c r="B28" s="560"/>
      <c r="C28" s="463"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583"/>
      <c r="B29" s="561"/>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610"/>
      <c r="B30" s="691"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693" t="s">
        <v>403</v>
      </c>
      <c r="AI30" s="106"/>
    </row>
    <row r="31" spans="1:35" s="33" customFormat="1" ht="129" customHeight="1" x14ac:dyDescent="0.25">
      <c r="A31" s="612"/>
      <c r="B31" s="692"/>
      <c r="C31" s="463"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694"/>
      <c r="AI31" s="106"/>
    </row>
    <row r="32" spans="1:35" s="100" customFormat="1" ht="35.25" customHeight="1" x14ac:dyDescent="0.25">
      <c r="A32" s="697"/>
      <c r="B32" s="691"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324"/>
      <c r="AI32" s="106"/>
    </row>
    <row r="33" spans="1:35" s="33" customFormat="1" ht="200.25" customHeight="1" x14ac:dyDescent="0.25">
      <c r="A33" s="698"/>
      <c r="B33" s="700"/>
      <c r="C33" s="691" t="s">
        <v>21</v>
      </c>
      <c r="D33" s="701">
        <f>SUM(J33,L33,N33,P33,R33,T33,V33,X33,Z33,AB33,AD33,AF33)</f>
        <v>85836.7</v>
      </c>
      <c r="E33" s="701">
        <f>J33+L33+N33+P33+R33+T33+V33+X33+Z33</f>
        <v>69477.010999999999</v>
      </c>
      <c r="F33" s="701">
        <f>G33</f>
        <v>61876.622579999996</v>
      </c>
      <c r="G33" s="701">
        <f>SUM(K33,M33,O33,Q33,S33,U33,W33,Y33,AA33,AC33,AE33,AG33)</f>
        <v>61876.622579999996</v>
      </c>
      <c r="H33" s="701">
        <v>40.35509670303324</v>
      </c>
      <c r="I33" s="701">
        <f t="shared" si="22"/>
        <v>89.060570812408727</v>
      </c>
      <c r="J33" s="695">
        <v>6525.8620000000001</v>
      </c>
      <c r="K33" s="695">
        <v>4782.0554099999999</v>
      </c>
      <c r="L33" s="695">
        <v>9174.8829999999998</v>
      </c>
      <c r="M33" s="695">
        <v>7168.8729999999996</v>
      </c>
      <c r="N33" s="695">
        <v>7600.6360000000004</v>
      </c>
      <c r="O33" s="695">
        <v>7394.2965000000004</v>
      </c>
      <c r="P33" s="695">
        <v>7916.223</v>
      </c>
      <c r="Q33" s="695">
        <v>7134.0708800000002</v>
      </c>
      <c r="R33" s="695">
        <v>8279.9619999999995</v>
      </c>
      <c r="S33" s="695">
        <v>7500.0541400000002</v>
      </c>
      <c r="T33" s="695">
        <v>8316.7880000000005</v>
      </c>
      <c r="U33" s="695">
        <v>7550.0750399999997</v>
      </c>
      <c r="V33" s="695">
        <v>7902.7079999999996</v>
      </c>
      <c r="W33" s="695">
        <v>8191.7629800000004</v>
      </c>
      <c r="X33" s="695">
        <v>8492.7389999999996</v>
      </c>
      <c r="Y33" s="695">
        <v>6733.3365100000001</v>
      </c>
      <c r="Z33" s="695">
        <v>5267.21</v>
      </c>
      <c r="AA33" s="695">
        <v>5422.0981199999997</v>
      </c>
      <c r="AB33" s="695">
        <v>5770.29</v>
      </c>
      <c r="AC33" s="695">
        <v>0</v>
      </c>
      <c r="AD33" s="695">
        <v>5144.42</v>
      </c>
      <c r="AE33" s="695">
        <v>0</v>
      </c>
      <c r="AF33" s="695">
        <v>5444.9790000000003</v>
      </c>
      <c r="AG33" s="695">
        <v>0</v>
      </c>
      <c r="AH33" s="693" t="s">
        <v>404</v>
      </c>
      <c r="AI33" s="106"/>
    </row>
    <row r="34" spans="1:35" s="33" customFormat="1" ht="108" customHeight="1" x14ac:dyDescent="0.25">
      <c r="A34" s="698"/>
      <c r="B34" s="700"/>
      <c r="C34" s="692"/>
      <c r="D34" s="702"/>
      <c r="E34" s="702"/>
      <c r="F34" s="702"/>
      <c r="G34" s="702"/>
      <c r="H34" s="702"/>
      <c r="I34" s="702"/>
      <c r="J34" s="696"/>
      <c r="K34" s="696"/>
      <c r="L34" s="696"/>
      <c r="M34" s="696"/>
      <c r="N34" s="696"/>
      <c r="O34" s="696"/>
      <c r="P34" s="696"/>
      <c r="Q34" s="696"/>
      <c r="R34" s="696"/>
      <c r="S34" s="696"/>
      <c r="T34" s="696"/>
      <c r="U34" s="696"/>
      <c r="V34" s="696"/>
      <c r="W34" s="696"/>
      <c r="X34" s="696"/>
      <c r="Y34" s="696"/>
      <c r="Z34" s="696"/>
      <c r="AA34" s="696"/>
      <c r="AB34" s="696"/>
      <c r="AC34" s="696"/>
      <c r="AD34" s="696"/>
      <c r="AE34" s="696"/>
      <c r="AF34" s="696"/>
      <c r="AG34" s="696"/>
      <c r="AH34" s="694"/>
      <c r="AI34" s="106"/>
    </row>
    <row r="35" spans="1:35" s="33" customFormat="1" ht="240" customHeight="1" x14ac:dyDescent="0.25">
      <c r="A35" s="699"/>
      <c r="B35" s="692"/>
      <c r="C35" s="463"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405</v>
      </c>
      <c r="AI35" s="106"/>
    </row>
    <row r="36" spans="1:35" s="100" customFormat="1" ht="35.25" customHeight="1" x14ac:dyDescent="0.25">
      <c r="A36" s="610"/>
      <c r="B36" s="691"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693" t="s">
        <v>378</v>
      </c>
      <c r="AI36" s="106"/>
    </row>
    <row r="37" spans="1:35" s="33" customFormat="1" ht="42" customHeight="1" x14ac:dyDescent="0.25">
      <c r="A37" s="612"/>
      <c r="B37" s="692"/>
      <c r="C37" s="463"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694"/>
      <c r="AI37" s="106"/>
    </row>
    <row r="38" spans="1:35" s="100" customFormat="1" ht="35.25" customHeight="1" x14ac:dyDescent="0.25">
      <c r="A38" s="610"/>
      <c r="B38" s="691"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693" t="s">
        <v>348</v>
      </c>
      <c r="AI38" s="106"/>
    </row>
    <row r="39" spans="1:35" s="33" customFormat="1" ht="42" customHeight="1" x14ac:dyDescent="0.25">
      <c r="A39" s="612"/>
      <c r="B39" s="692"/>
      <c r="C39" s="463"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694"/>
      <c r="AI39" s="106"/>
    </row>
    <row r="40" spans="1:35" x14ac:dyDescent="0.25">
      <c r="B40" s="130"/>
      <c r="C40" s="325"/>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379</v>
      </c>
      <c r="C41" s="325"/>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380</v>
      </c>
      <c r="C42" s="325"/>
      <c r="D42" s="326"/>
      <c r="E42" s="326"/>
      <c r="F42" s="326"/>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325"/>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325"/>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325"/>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325"/>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325"/>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325"/>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325"/>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325"/>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325"/>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325"/>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133BB3F8-8DD4-4AEF-8CD6-A5FB14681329}" scale="50" showPageBreaks="1" fitToPage="1" state="hidden" view="pageBreakPreview" topLeftCell="I23">
      <selection activeCell="F6" sqref="F6"/>
      <pageMargins left="0.70866141732283472" right="0.70866141732283472" top="0.74803149606299213" bottom="0.74803149606299213" header="0.31496062992125984" footer="0.31496062992125984"/>
      <pageSetup paperSize="9" scale="16" orientation="landscape" r:id="rId1"/>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s>
  <mergeCells count="87">
    <mergeCell ref="A4:A6"/>
    <mergeCell ref="B4:B6"/>
    <mergeCell ref="C4:C6"/>
    <mergeCell ref="D4:D5"/>
    <mergeCell ref="E4:E5"/>
    <mergeCell ref="P4:Q5"/>
    <mergeCell ref="R4:S5"/>
    <mergeCell ref="T4:U5"/>
    <mergeCell ref="C2:S2"/>
    <mergeCell ref="C3:S3"/>
    <mergeCell ref="F4:F5"/>
    <mergeCell ref="G4:G5"/>
    <mergeCell ref="H4:I5"/>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A15:A17"/>
    <mergeCell ref="B15:B17"/>
    <mergeCell ref="AH15:AH17"/>
    <mergeCell ref="A18:A20"/>
    <mergeCell ref="B18:B20"/>
    <mergeCell ref="AH18:AH20"/>
    <mergeCell ref="AH30:AH31"/>
    <mergeCell ref="B21:AG21"/>
    <mergeCell ref="A22:A23"/>
    <mergeCell ref="B22:B23"/>
    <mergeCell ref="AH22:AH25"/>
    <mergeCell ref="A24:A25"/>
    <mergeCell ref="B24:B25"/>
    <mergeCell ref="B26:AG26"/>
    <mergeCell ref="A27:A29"/>
    <mergeCell ref="B27:B29"/>
    <mergeCell ref="A30:A31"/>
    <mergeCell ref="B30:B31"/>
    <mergeCell ref="L33:L34"/>
    <mergeCell ref="A32:A35"/>
    <mergeCell ref="B32:B35"/>
    <mergeCell ref="C33:C34"/>
    <mergeCell ref="D33:D34"/>
    <mergeCell ref="E33:E34"/>
    <mergeCell ref="F33:F34"/>
    <mergeCell ref="G33:G34"/>
    <mergeCell ref="H33:H34"/>
    <mergeCell ref="I33:I34"/>
    <mergeCell ref="J33:J34"/>
    <mergeCell ref="K33:K34"/>
    <mergeCell ref="X33:X34"/>
    <mergeCell ref="M33:M34"/>
    <mergeCell ref="N33:N34"/>
    <mergeCell ref="O33:O34"/>
    <mergeCell ref="P33:P34"/>
    <mergeCell ref="Q33:Q34"/>
    <mergeCell ref="R33:R34"/>
    <mergeCell ref="S33:S34"/>
    <mergeCell ref="T33:T34"/>
    <mergeCell ref="U33:U34"/>
    <mergeCell ref="V33:V34"/>
    <mergeCell ref="W33:W34"/>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s>
  <pageMargins left="0.70866141732283472" right="0.70866141732283472" top="0.74803149606299213" bottom="0.74803149606299213" header="0.31496062992125984" footer="0.31496062992125984"/>
  <pageSetup paperSize="9" scale="16" orientation="landscape" r:id="rId14"/>
  <legacyDrawing r:id="rId1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R8" activePane="bottomRight" state="frozen"/>
      <selection pane="topRight" activeCell="G1" sqref="G1"/>
      <selection pane="bottomLeft" activeCell="A8" sqref="A8"/>
      <selection pane="bottomRight" activeCell="R9" sqref="R9"/>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55"/>
      <c r="C3" s="567" t="s">
        <v>190</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45839</v>
      </c>
      <c r="F6" s="39">
        <v>45839</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559" t="s">
        <v>23</v>
      </c>
      <c r="C8" s="69" t="s">
        <v>20</v>
      </c>
      <c r="D8" s="71">
        <f t="shared" ref="D8:AF8" si="0">D9</f>
        <v>1452.3</v>
      </c>
      <c r="E8" s="71">
        <f t="shared" si="0"/>
        <v>1142.5</v>
      </c>
      <c r="F8" s="71">
        <f t="shared" si="0"/>
        <v>204.39999999999998</v>
      </c>
      <c r="G8" s="71">
        <f t="shared" si="0"/>
        <v>109.9</v>
      </c>
      <c r="H8" s="71">
        <f>IFERROR(G8/D8*100,0)</f>
        <v>7.5673070302279157</v>
      </c>
      <c r="I8" s="71">
        <f>IFERROR(G8/E8*100,0)</f>
        <v>9.6192560175054709</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558"/>
      <c r="B9" s="561"/>
      <c r="C9" s="73" t="s">
        <v>21</v>
      </c>
      <c r="D9" s="74">
        <f>J9+L9+N9+P9+R9+T9+V9+X9+Z9+AB9+AD9+AF9</f>
        <v>1452.3</v>
      </c>
      <c r="E9" s="74">
        <f>J9+L9+N9+P9+R9+T9+V9+X9+Z9+AB9</f>
        <v>1142.5</v>
      </c>
      <c r="F9" s="74">
        <f>SUM(J9+L9+N9+P9+R9+T9+X9+Z9+AB9)</f>
        <v>204.39999999999998</v>
      </c>
      <c r="G9" s="74">
        <f>K9+M9+O9+Q9+S9+U9+W9+Y9+AA9+AC9+AE9+AG9</f>
        <v>109.9</v>
      </c>
      <c r="H9" s="71">
        <f>IFERROR(G9/D9*100,0)</f>
        <v>7.5673070302279157</v>
      </c>
      <c r="I9" s="71">
        <f>IFERROR(G9/E9*100,0)</f>
        <v>9.6192560175054709</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151</v>
      </c>
      <c r="B10" s="511" t="s">
        <v>191</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3"/>
      <c r="AH10" s="46"/>
    </row>
    <row r="11" spans="1:35" s="22" customFormat="1" ht="50.25" customHeight="1" x14ac:dyDescent="0.25">
      <c r="A11" s="547" t="s">
        <v>37</v>
      </c>
      <c r="B11" s="553" t="s">
        <v>192</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520"/>
      <c r="B12" s="554"/>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547"/>
      <c r="B13" s="545" t="s">
        <v>193</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520"/>
      <c r="B14" s="546"/>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520"/>
      <c r="B15" s="545" t="s">
        <v>194</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521"/>
      <c r="B16" s="546"/>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519"/>
      <c r="B17" s="545" t="s">
        <v>195</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521"/>
      <c r="B18" s="546"/>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511" t="s">
        <v>196</v>
      </c>
      <c r="C19" s="512"/>
      <c r="D19" s="512"/>
      <c r="E19" s="512"/>
      <c r="F19" s="512"/>
      <c r="G19" s="512"/>
      <c r="H19" s="512"/>
      <c r="I19" s="512"/>
      <c r="J19" s="512"/>
      <c r="K19" s="512"/>
      <c r="L19" s="512"/>
      <c r="M19" s="512"/>
      <c r="N19" s="512"/>
      <c r="O19" s="512"/>
      <c r="P19" s="512"/>
      <c r="Q19" s="512"/>
      <c r="R19" s="512"/>
      <c r="S19" s="512"/>
      <c r="T19" s="512"/>
      <c r="U19" s="512"/>
      <c r="V19" s="512"/>
      <c r="W19" s="512"/>
      <c r="X19" s="512"/>
      <c r="Y19" s="512"/>
      <c r="Z19" s="512"/>
      <c r="AA19" s="512"/>
      <c r="AB19" s="512"/>
      <c r="AC19" s="512"/>
      <c r="AD19" s="512"/>
      <c r="AE19" s="512"/>
      <c r="AF19" s="512"/>
      <c r="AG19" s="513"/>
      <c r="AH19" s="60"/>
      <c r="AI19" s="20"/>
    </row>
    <row r="20" spans="1:35" s="22" customFormat="1" ht="44.25" customHeight="1" x14ac:dyDescent="0.25">
      <c r="A20" s="547" t="s">
        <v>154</v>
      </c>
      <c r="B20" s="553" t="s">
        <v>197</v>
      </c>
      <c r="C20" s="57" t="s">
        <v>20</v>
      </c>
      <c r="D20" s="59">
        <f t="shared" ref="D20:AF20" si="11">D21</f>
        <v>204.39999999999998</v>
      </c>
      <c r="E20" s="59">
        <f t="shared" si="11"/>
        <v>164.39999999999998</v>
      </c>
      <c r="F20" s="59">
        <f t="shared" si="11"/>
        <v>164.39999999999998</v>
      </c>
      <c r="G20" s="59">
        <f t="shared" si="11"/>
        <v>109.9</v>
      </c>
      <c r="H20" s="59">
        <f t="shared" ref="H20:H27" si="12">IFERROR(G20/D20*100,0)</f>
        <v>53.767123287671239</v>
      </c>
      <c r="I20" s="59">
        <f t="shared" ref="I20:I27" si="13">IFERROR(G20/E20*100,0)</f>
        <v>66.849148418491495</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93"/>
      <c r="B21" s="555"/>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109.9</v>
      </c>
      <c r="H21" s="59">
        <f t="shared" si="12"/>
        <v>53.767123287671239</v>
      </c>
      <c r="I21" s="59">
        <f t="shared" si="13"/>
        <v>66.849148418491495</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547"/>
      <c r="B22" s="545" t="s">
        <v>198</v>
      </c>
      <c r="C22" s="57" t="s">
        <v>20</v>
      </c>
      <c r="D22" s="59">
        <f t="shared" ref="D22:AF22" si="15">D23</f>
        <v>157.69999999999999</v>
      </c>
      <c r="E22" s="59">
        <f t="shared" si="15"/>
        <v>157.69999999999999</v>
      </c>
      <c r="F22" s="59">
        <f t="shared" si="15"/>
        <v>109.9</v>
      </c>
      <c r="G22" s="59">
        <f t="shared" si="15"/>
        <v>109.9</v>
      </c>
      <c r="H22" s="59">
        <f t="shared" si="12"/>
        <v>69.689283449587833</v>
      </c>
      <c r="I22" s="59">
        <f t="shared" si="13"/>
        <v>69.689283449587833</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520"/>
      <c r="B23" s="546"/>
      <c r="C23" s="61" t="s">
        <v>21</v>
      </c>
      <c r="D23" s="62">
        <f>SUM(J23,L23,N23,P23,R23,T23,V23,X23,Z23,AB23,AD23,AF23)</f>
        <v>157.69999999999999</v>
      </c>
      <c r="E23" s="62">
        <f>J23+L23+N23+P23+R23+T23+V23+X23+Z23</f>
        <v>157.69999999999999</v>
      </c>
      <c r="F23" s="62">
        <f>G23</f>
        <v>109.9</v>
      </c>
      <c r="G23" s="62">
        <f>SUM(K23,M23,O23,Q23,S23,U23,W23,Y23,AA23,AC23,AE23,AG23)</f>
        <v>109.9</v>
      </c>
      <c r="H23" s="59">
        <f t="shared" si="12"/>
        <v>69.689283449587833</v>
      </c>
      <c r="I23" s="59">
        <f t="shared" si="13"/>
        <v>69.689283449587833</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t="s">
        <v>342</v>
      </c>
      <c r="AI23" s="20"/>
    </row>
    <row r="24" spans="1:35" s="22" customFormat="1" ht="38.25" customHeight="1" x14ac:dyDescent="0.25">
      <c r="A24" s="519"/>
      <c r="B24" s="545" t="s">
        <v>199</v>
      </c>
      <c r="C24" s="57" t="s">
        <v>20</v>
      </c>
      <c r="D24" s="59">
        <f t="shared" ref="D24:AF24" si="16">D25</f>
        <v>40</v>
      </c>
      <c r="E24" s="59">
        <f t="shared" si="16"/>
        <v>40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521"/>
      <c r="B25" s="546"/>
      <c r="C25" s="61" t="s">
        <v>21</v>
      </c>
      <c r="D25" s="62">
        <f>SUM(J25,L25,N25,P25,R25,T25,V25,X25,Z25,AB25,AD25,AF25)</f>
        <v>40</v>
      </c>
      <c r="E25" s="62">
        <f>J25+L25+N25+P25+R25+T25+V25+X25+Z25+AB25</f>
        <v>40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519"/>
      <c r="B26" s="545" t="s">
        <v>200</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521"/>
      <c r="B27" s="546"/>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461"/>
      <c r="AI27" s="20"/>
    </row>
    <row r="28" spans="1:35" s="22" customFormat="1" ht="25.5" customHeight="1" x14ac:dyDescent="0.25">
      <c r="A28" s="118" t="s">
        <v>156</v>
      </c>
      <c r="B28" s="511" t="s">
        <v>201</v>
      </c>
      <c r="C28" s="512"/>
      <c r="D28" s="512"/>
      <c r="E28" s="512"/>
      <c r="F28" s="512"/>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3"/>
      <c r="AH28" s="60"/>
      <c r="AI28" s="20"/>
    </row>
    <row r="29" spans="1:35" s="30" customFormat="1" ht="50.25" customHeight="1" x14ac:dyDescent="0.25">
      <c r="A29" s="508" t="s">
        <v>63</v>
      </c>
      <c r="B29" s="559" t="s">
        <v>202</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509"/>
      <c r="B30" s="561"/>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508"/>
      <c r="B31" s="545" t="s">
        <v>203</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509"/>
      <c r="B32" s="595"/>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462" t="s">
        <v>453</v>
      </c>
    </row>
  </sheetData>
  <customSheetViews>
    <customSheetView guid="{133BB3F8-8DD4-4AEF-8CD6-A5FB14681329}" scale="70">
      <pane xSplit="6" ySplit="7" topLeftCell="R8" activePane="bottomRight" state="frozen"/>
      <selection pane="bottomRight" activeCell="AC8" sqref="AC8"/>
      <pageMargins left="0.7" right="0.7" top="0.75" bottom="0.75" header="0.3" footer="0.3"/>
      <pageSetup paperSize="9" orientation="portrait" r:id="rId1"/>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3"/>
    </customSheetView>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4"/>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5"/>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6"/>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7"/>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8"/>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9"/>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10"/>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11"/>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13"/>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6"/>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20"/>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1"/>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22"/>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23"/>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24"/>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25"/>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6"/>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27"/>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66" t="s">
        <v>24</v>
      </c>
      <c r="D2" s="566"/>
      <c r="E2" s="566"/>
      <c r="F2" s="566"/>
      <c r="G2" s="566"/>
      <c r="H2" s="566"/>
      <c r="I2" s="566"/>
      <c r="J2" s="566"/>
      <c r="K2" s="566"/>
      <c r="L2" s="566"/>
      <c r="M2" s="566"/>
      <c r="N2" s="566"/>
      <c r="O2" s="566"/>
      <c r="P2" s="566"/>
      <c r="Q2" s="566"/>
      <c r="R2" s="566"/>
      <c r="S2" s="566"/>
      <c r="T2" s="93"/>
      <c r="U2" s="93"/>
      <c r="V2" s="93"/>
      <c r="W2" s="93"/>
      <c r="X2" s="93"/>
      <c r="Y2" s="93"/>
      <c r="Z2" s="93"/>
      <c r="AA2" s="93"/>
      <c r="AB2" s="93"/>
      <c r="AC2" s="93"/>
      <c r="AD2" s="93"/>
      <c r="AE2" s="93"/>
      <c r="AF2" s="93"/>
      <c r="AG2" s="93"/>
      <c r="AH2" s="93"/>
    </row>
    <row r="3" spans="1:35" ht="36.75" customHeight="1" x14ac:dyDescent="0.25">
      <c r="A3" s="92"/>
      <c r="B3" s="92"/>
      <c r="C3" s="567" t="s">
        <v>158</v>
      </c>
      <c r="D3" s="567"/>
      <c r="E3" s="567"/>
      <c r="F3" s="567"/>
      <c r="G3" s="567"/>
      <c r="H3" s="567"/>
      <c r="I3" s="567"/>
      <c r="J3" s="567"/>
      <c r="K3" s="567"/>
      <c r="L3" s="567"/>
      <c r="M3" s="567"/>
      <c r="N3" s="567"/>
      <c r="O3" s="567"/>
      <c r="P3" s="567"/>
      <c r="Q3" s="567"/>
      <c r="R3" s="567"/>
      <c r="S3" s="567"/>
      <c r="T3" s="94"/>
      <c r="U3" s="94"/>
      <c r="V3" s="94"/>
      <c r="W3" s="94"/>
      <c r="X3" s="94"/>
      <c r="Y3" s="94"/>
      <c r="Z3" s="94"/>
      <c r="AA3" s="94"/>
      <c r="AB3" s="94"/>
      <c r="AC3" s="94"/>
      <c r="AD3" s="95"/>
      <c r="AE3" s="95"/>
      <c r="AF3" s="95"/>
      <c r="AG3" s="37" t="s">
        <v>0</v>
      </c>
      <c r="AH3" s="95"/>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45962</v>
      </c>
      <c r="F6" s="39">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3" t="s">
        <v>23</v>
      </c>
      <c r="C8" s="57" t="s">
        <v>20</v>
      </c>
      <c r="D8" s="82">
        <f>D9+D10+D11</f>
        <v>170785.88759999999</v>
      </c>
      <c r="E8" s="58">
        <f>E9+E10+E11</f>
        <v>149681.03552</v>
      </c>
      <c r="F8" s="58">
        <f>F9+F10+F11</f>
        <v>136440.51489999998</v>
      </c>
      <c r="G8" s="320">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582"/>
      <c r="B9" s="554"/>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582"/>
      <c r="B10" s="554"/>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582"/>
      <c r="B11" s="554"/>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96" t="s">
        <v>159</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 customFormat="1" ht="148.5" customHeight="1" x14ac:dyDescent="0.25">
      <c r="A13" s="581" t="s">
        <v>152</v>
      </c>
      <c r="B13" s="553" t="s">
        <v>160</v>
      </c>
      <c r="C13" s="57" t="s">
        <v>20</v>
      </c>
      <c r="D13" s="58">
        <f>D14</f>
        <v>899.2</v>
      </c>
      <c r="E13" s="58">
        <f>E14</f>
        <v>899.2</v>
      </c>
      <c r="F13" s="58">
        <f>F14</f>
        <v>347.95555999999999</v>
      </c>
      <c r="G13" s="82">
        <f>G14</f>
        <v>347.95555999999999</v>
      </c>
      <c r="H13" s="58">
        <f>IFERROR(G13/D13*100,0)</f>
        <v>38.696125444839858</v>
      </c>
      <c r="I13" s="58">
        <f>IFERROR(G13/E13*100,0)</f>
        <v>38.696125444839858</v>
      </c>
      <c r="J13" s="301">
        <f t="shared" ref="J13:AG13" si="4">J14</f>
        <v>0</v>
      </c>
      <c r="K13" s="301">
        <f>K14</f>
        <v>0</v>
      </c>
      <c r="L13" s="301">
        <f t="shared" si="4"/>
        <v>0</v>
      </c>
      <c r="M13" s="301">
        <f t="shared" si="4"/>
        <v>0</v>
      </c>
      <c r="N13" s="301">
        <f t="shared" si="4"/>
        <v>400</v>
      </c>
      <c r="O13" s="301">
        <f t="shared" si="4"/>
        <v>299</v>
      </c>
      <c r="P13" s="301">
        <f t="shared" si="4"/>
        <v>0</v>
      </c>
      <c r="Q13" s="301">
        <f t="shared" si="4"/>
        <v>0</v>
      </c>
      <c r="R13" s="301">
        <f t="shared" si="4"/>
        <v>0</v>
      </c>
      <c r="S13" s="301">
        <f t="shared" si="4"/>
        <v>30.94172</v>
      </c>
      <c r="T13" s="301">
        <f t="shared" si="4"/>
        <v>200.2</v>
      </c>
      <c r="U13" s="301">
        <f t="shared" si="4"/>
        <v>8.2511600000000005</v>
      </c>
      <c r="V13" s="301">
        <f t="shared" si="4"/>
        <v>0</v>
      </c>
      <c r="W13" s="301">
        <f t="shared" si="4"/>
        <v>0</v>
      </c>
      <c r="X13" s="301">
        <f t="shared" si="4"/>
        <v>0</v>
      </c>
      <c r="Y13" s="301">
        <f t="shared" si="4"/>
        <v>0</v>
      </c>
      <c r="Z13" s="301">
        <f t="shared" si="4"/>
        <v>0</v>
      </c>
      <c r="AA13" s="301">
        <f t="shared" si="4"/>
        <v>0</v>
      </c>
      <c r="AB13" s="301">
        <f t="shared" si="4"/>
        <v>299</v>
      </c>
      <c r="AC13" s="301">
        <f t="shared" si="4"/>
        <v>9.7626799999999996</v>
      </c>
      <c r="AD13" s="301">
        <f t="shared" si="4"/>
        <v>0</v>
      </c>
      <c r="AE13" s="301">
        <f t="shared" si="4"/>
        <v>0</v>
      </c>
      <c r="AF13" s="301">
        <f t="shared" si="4"/>
        <v>0</v>
      </c>
      <c r="AG13" s="301">
        <f t="shared" si="4"/>
        <v>0</v>
      </c>
      <c r="AH13" s="501" t="s">
        <v>444</v>
      </c>
      <c r="AI13" s="23"/>
    </row>
    <row r="14" spans="1:35" s="21" customFormat="1" ht="105.75" customHeight="1" x14ac:dyDescent="0.25">
      <c r="A14" s="583"/>
      <c r="B14" s="555"/>
      <c r="C14" s="295"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87">
        <v>0</v>
      </c>
      <c r="K14" s="287">
        <v>0</v>
      </c>
      <c r="L14" s="287">
        <v>0</v>
      </c>
      <c r="M14" s="287">
        <v>0</v>
      </c>
      <c r="N14" s="287">
        <v>400</v>
      </c>
      <c r="O14" s="287">
        <v>299</v>
      </c>
      <c r="P14" s="287">
        <v>0</v>
      </c>
      <c r="Q14" s="287">
        <v>0</v>
      </c>
      <c r="R14" s="287">
        <v>0</v>
      </c>
      <c r="S14" s="287">
        <v>30.94172</v>
      </c>
      <c r="T14" s="287">
        <v>200.2</v>
      </c>
      <c r="U14" s="287">
        <v>8.2511600000000005</v>
      </c>
      <c r="V14" s="287">
        <v>0</v>
      </c>
      <c r="W14" s="287">
        <v>0</v>
      </c>
      <c r="X14" s="287">
        <v>0</v>
      </c>
      <c r="Y14" s="287">
        <v>0</v>
      </c>
      <c r="Z14" s="287">
        <v>0</v>
      </c>
      <c r="AA14" s="287">
        <v>0</v>
      </c>
      <c r="AB14" s="287">
        <v>299</v>
      </c>
      <c r="AC14" s="287">
        <v>9.7626799999999996</v>
      </c>
      <c r="AD14" s="287">
        <v>0</v>
      </c>
      <c r="AE14" s="287">
        <v>0</v>
      </c>
      <c r="AF14" s="287">
        <v>0</v>
      </c>
      <c r="AG14" s="287">
        <v>0</v>
      </c>
      <c r="AH14" s="60"/>
      <c r="AI14" s="23"/>
    </row>
    <row r="15" spans="1:35" s="26" customFormat="1" ht="18.75" customHeight="1" x14ac:dyDescent="0.25">
      <c r="A15" s="132" t="s">
        <v>153</v>
      </c>
      <c r="B15" s="596" t="s">
        <v>161</v>
      </c>
      <c r="C15" s="597"/>
      <c r="D15" s="597"/>
      <c r="E15" s="597"/>
      <c r="F15" s="597"/>
      <c r="G15" s="597"/>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7"/>
      <c r="AF15" s="597"/>
      <c r="AG15" s="598"/>
      <c r="AH15" s="75"/>
    </row>
    <row r="16" spans="1:35" s="21" customFormat="1" ht="126.75" customHeight="1" x14ac:dyDescent="0.25">
      <c r="A16" s="581" t="s">
        <v>162</v>
      </c>
      <c r="B16" s="553" t="s">
        <v>163</v>
      </c>
      <c r="C16" s="57" t="s">
        <v>20</v>
      </c>
      <c r="D16" s="58">
        <f>D17</f>
        <v>38352.399720000009</v>
      </c>
      <c r="E16" s="58">
        <f>E17</f>
        <v>32163.889530000004</v>
      </c>
      <c r="F16" s="58">
        <f>F17</f>
        <v>26428.900290000001</v>
      </c>
      <c r="G16" s="320">
        <f>G17</f>
        <v>26428.900290000001</v>
      </c>
      <c r="H16" s="58">
        <f t="shared" ref="H16:H21" si="5">IFERROR(G16/D16*100,0)</f>
        <v>68.910682207501765</v>
      </c>
      <c r="I16" s="58">
        <f t="shared" ref="I16:I21" si="6">IFERROR(G16/E16*100,0)</f>
        <v>82.16947849341777</v>
      </c>
      <c r="J16" s="301">
        <f t="shared" ref="J16:AG16" si="7">J17</f>
        <v>2602.25432</v>
      </c>
      <c r="K16" s="301">
        <f t="shared" si="7"/>
        <v>1757.0483200000001</v>
      </c>
      <c r="L16" s="301">
        <f t="shared" si="7"/>
        <v>3489.15461</v>
      </c>
      <c r="M16" s="301">
        <f t="shared" si="7"/>
        <v>1902.97363</v>
      </c>
      <c r="N16" s="301">
        <f t="shared" si="7"/>
        <v>1227.7879399999999</v>
      </c>
      <c r="O16" s="301">
        <f t="shared" si="7"/>
        <v>1444.02099</v>
      </c>
      <c r="P16" s="301">
        <f t="shared" si="7"/>
        <v>7711.54457</v>
      </c>
      <c r="Q16" s="301">
        <f t="shared" si="7"/>
        <v>3280.39374</v>
      </c>
      <c r="R16" s="301">
        <f t="shared" si="7"/>
        <v>1852.07942</v>
      </c>
      <c r="S16" s="301">
        <f t="shared" si="7"/>
        <v>2319.4198500000002</v>
      </c>
      <c r="T16" s="301">
        <f t="shared" si="7"/>
        <v>2081.7179999999998</v>
      </c>
      <c r="U16" s="301">
        <f t="shared" si="7"/>
        <v>3366.8392600000002</v>
      </c>
      <c r="V16" s="301">
        <f t="shared" si="7"/>
        <v>7885.4738699999998</v>
      </c>
      <c r="W16" s="301">
        <f t="shared" si="7"/>
        <v>4531.6786300000003</v>
      </c>
      <c r="X16" s="301">
        <f t="shared" si="7"/>
        <v>1056.258</v>
      </c>
      <c r="Y16" s="301">
        <f t="shared" si="7"/>
        <v>2488.1683400000002</v>
      </c>
      <c r="Z16" s="301">
        <f t="shared" si="7"/>
        <v>907.79963999999995</v>
      </c>
      <c r="AA16" s="301">
        <f t="shared" si="7"/>
        <v>2478.7598600000001</v>
      </c>
      <c r="AB16" s="301">
        <f t="shared" si="7"/>
        <v>3349.81916</v>
      </c>
      <c r="AC16" s="301">
        <f t="shared" si="7"/>
        <v>2859.5976700000001</v>
      </c>
      <c r="AD16" s="301">
        <f t="shared" si="7"/>
        <v>820.1</v>
      </c>
      <c r="AE16" s="301">
        <f t="shared" si="7"/>
        <v>0</v>
      </c>
      <c r="AF16" s="301">
        <f t="shared" si="7"/>
        <v>5368.4101900000005</v>
      </c>
      <c r="AG16" s="301">
        <f t="shared" si="7"/>
        <v>0</v>
      </c>
      <c r="AH16" s="502" t="s">
        <v>445</v>
      </c>
      <c r="AI16" s="20"/>
    </row>
    <row r="17" spans="1:35" s="22" customFormat="1" ht="158.25" customHeight="1" x14ac:dyDescent="0.25">
      <c r="A17" s="583"/>
      <c r="B17" s="555"/>
      <c r="C17" s="295"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86">
        <f t="shared" si="5"/>
        <v>68.910682207501765</v>
      </c>
      <c r="I17" s="286">
        <f t="shared" si="6"/>
        <v>82.16947849341777</v>
      </c>
      <c r="J17" s="287">
        <v>2602.25432</v>
      </c>
      <c r="K17" s="287">
        <v>1757.0483200000001</v>
      </c>
      <c r="L17" s="287">
        <f>3282.855+206.29961</f>
        <v>3489.15461</v>
      </c>
      <c r="M17" s="287">
        <f>1696.67402+206.29961</f>
        <v>1902.97363</v>
      </c>
      <c r="N17" s="287">
        <f>1116.752+111.03594</f>
        <v>1227.7879399999999</v>
      </c>
      <c r="O17" s="287">
        <f>1332.98505+111.03594</f>
        <v>1444.02099</v>
      </c>
      <c r="P17" s="287">
        <f>7267.40081+444.14376</f>
        <v>7711.54457</v>
      </c>
      <c r="Q17" s="287">
        <f>2836.24998+444.14376</f>
        <v>3280.39374</v>
      </c>
      <c r="R17" s="287">
        <f>1717.948+134.13142</f>
        <v>1852.07942</v>
      </c>
      <c r="S17" s="287">
        <f>2185.28843+134.13142</f>
        <v>2319.4198500000002</v>
      </c>
      <c r="T17" s="287">
        <v>2081.7179999999998</v>
      </c>
      <c r="U17" s="287">
        <v>3366.8392600000002</v>
      </c>
      <c r="V17" s="287">
        <v>7885.4738699999998</v>
      </c>
      <c r="W17" s="287">
        <v>4531.6786300000003</v>
      </c>
      <c r="X17" s="287">
        <v>1056.258</v>
      </c>
      <c r="Y17" s="287">
        <v>2488.1683400000002</v>
      </c>
      <c r="Z17" s="287">
        <v>907.79963999999995</v>
      </c>
      <c r="AA17" s="287">
        <v>2478.7598600000001</v>
      </c>
      <c r="AB17" s="287">
        <v>3349.81916</v>
      </c>
      <c r="AC17" s="287">
        <v>2859.5976700000001</v>
      </c>
      <c r="AD17" s="287">
        <v>820.1</v>
      </c>
      <c r="AE17" s="287">
        <v>0</v>
      </c>
      <c r="AF17" s="287">
        <f>3414.121+1151.20039+803.0888</f>
        <v>5368.4101900000005</v>
      </c>
      <c r="AG17" s="504">
        <v>0</v>
      </c>
      <c r="AH17" s="505" t="s">
        <v>446</v>
      </c>
      <c r="AI17" s="20"/>
    </row>
    <row r="18" spans="1:35" s="21" customFormat="1" ht="147.75" customHeight="1" x14ac:dyDescent="0.25">
      <c r="A18" s="581" t="s">
        <v>155</v>
      </c>
      <c r="B18" s="553" t="s">
        <v>164</v>
      </c>
      <c r="C18" s="57" t="s">
        <v>20</v>
      </c>
      <c r="D18" s="83">
        <f>D19+D20+D21</f>
        <v>9016.9199900000003</v>
      </c>
      <c r="E18" s="59">
        <f>E19+E20+E21</f>
        <v>7816.8759899999986</v>
      </c>
      <c r="F18" s="59">
        <f>F19+F20+F21</f>
        <v>6951.8027100000008</v>
      </c>
      <c r="G18" s="321">
        <f>G19+G20+G21</f>
        <v>6951.8027100000008</v>
      </c>
      <c r="H18" s="59">
        <f t="shared" si="5"/>
        <v>77.09730947717992</v>
      </c>
      <c r="I18" s="59">
        <f t="shared" si="6"/>
        <v>88.933260792333513</v>
      </c>
      <c r="J18" s="301">
        <f t="shared" ref="J18:AG18" si="8">J19+J20+J21</f>
        <v>811.04154000000005</v>
      </c>
      <c r="K18" s="301">
        <f t="shared" si="8"/>
        <v>612.34142999999995</v>
      </c>
      <c r="L18" s="301">
        <f t="shared" si="8"/>
        <v>753.69100000000003</v>
      </c>
      <c r="M18" s="301">
        <f t="shared" si="8"/>
        <v>794.68974000000003</v>
      </c>
      <c r="N18" s="301">
        <f t="shared" si="8"/>
        <v>477.50599999999997</v>
      </c>
      <c r="O18" s="301">
        <f t="shared" si="8"/>
        <v>572.06002999999998</v>
      </c>
      <c r="P18" s="301">
        <f t="shared" si="8"/>
        <v>816.18115</v>
      </c>
      <c r="Q18" s="301">
        <f t="shared" si="8"/>
        <v>653.27978000000007</v>
      </c>
      <c r="R18" s="301">
        <f t="shared" si="8"/>
        <v>826.57899999999995</v>
      </c>
      <c r="S18" s="301">
        <f t="shared" si="8"/>
        <v>678.62918000000002</v>
      </c>
      <c r="T18" s="301">
        <f t="shared" si="8"/>
        <v>620.90798999999993</v>
      </c>
      <c r="U18" s="301">
        <f t="shared" si="8"/>
        <v>768.07577000000003</v>
      </c>
      <c r="V18" s="301">
        <f t="shared" si="8"/>
        <v>932.41714999999999</v>
      </c>
      <c r="W18" s="301">
        <f t="shared" si="8"/>
        <v>699.46643000000006</v>
      </c>
      <c r="X18" s="301">
        <f t="shared" si="8"/>
        <v>930.66300000000001</v>
      </c>
      <c r="Y18" s="301">
        <f t="shared" si="8"/>
        <v>874.17074000000002</v>
      </c>
      <c r="Z18" s="301">
        <f t="shared" si="8"/>
        <v>672.37</v>
      </c>
      <c r="AA18" s="301">
        <f t="shared" si="8"/>
        <v>676.26324</v>
      </c>
      <c r="AB18" s="301">
        <f t="shared" si="8"/>
        <v>975.51916000000006</v>
      </c>
      <c r="AC18" s="301">
        <f t="shared" si="8"/>
        <v>622.82637</v>
      </c>
      <c r="AD18" s="301">
        <f t="shared" si="8"/>
        <v>609.55600000000004</v>
      </c>
      <c r="AE18" s="301">
        <f t="shared" si="8"/>
        <v>0</v>
      </c>
      <c r="AF18" s="301">
        <f t="shared" si="8"/>
        <v>590.48800000000006</v>
      </c>
      <c r="AG18" s="301">
        <f t="shared" si="8"/>
        <v>0</v>
      </c>
      <c r="AH18" s="501" t="s">
        <v>447</v>
      </c>
      <c r="AI18" s="20"/>
    </row>
    <row r="19" spans="1:35" s="21" customFormat="1" ht="45.75" customHeight="1" x14ac:dyDescent="0.25">
      <c r="A19" s="582"/>
      <c r="B19" s="554"/>
      <c r="C19" s="295"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87">
        <v>533.65200000000004</v>
      </c>
      <c r="K19" s="287">
        <v>407.34699999999998</v>
      </c>
      <c r="L19" s="287">
        <v>734.69100000000003</v>
      </c>
      <c r="M19" s="287">
        <v>781.77151000000003</v>
      </c>
      <c r="N19" s="287">
        <v>326.40600000000001</v>
      </c>
      <c r="O19" s="287">
        <v>348.72284000000002</v>
      </c>
      <c r="P19" s="287">
        <v>614.40700000000004</v>
      </c>
      <c r="Q19" s="287">
        <v>453.94542000000001</v>
      </c>
      <c r="R19" s="287">
        <v>649.43899999999996</v>
      </c>
      <c r="S19" s="287">
        <v>678.62918000000002</v>
      </c>
      <c r="T19" s="287">
        <v>296.709</v>
      </c>
      <c r="U19" s="287">
        <v>427.98540000000003</v>
      </c>
      <c r="V19" s="287">
        <v>546.70699999999999</v>
      </c>
      <c r="W19" s="287">
        <v>488.57035000000002</v>
      </c>
      <c r="X19" s="287">
        <v>705.66300000000001</v>
      </c>
      <c r="Y19" s="287">
        <v>808.19493999999997</v>
      </c>
      <c r="Z19" s="287">
        <v>642.37</v>
      </c>
      <c r="AA19" s="287">
        <v>597.96470999999997</v>
      </c>
      <c r="AB19" s="287">
        <v>384.56900000000002</v>
      </c>
      <c r="AC19" s="287">
        <v>307.68378000000001</v>
      </c>
      <c r="AD19" s="287">
        <v>464.73599999999999</v>
      </c>
      <c r="AE19" s="287">
        <v>0</v>
      </c>
      <c r="AF19" s="287">
        <v>479.65100000000001</v>
      </c>
      <c r="AG19" s="287">
        <v>0</v>
      </c>
      <c r="AH19" s="60"/>
      <c r="AI19" s="20"/>
    </row>
    <row r="20" spans="1:35" s="21" customFormat="1" ht="52.5" customHeight="1" x14ac:dyDescent="0.25">
      <c r="A20" s="582"/>
      <c r="B20" s="554"/>
      <c r="C20" s="295"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87">
        <v>277.38954000000001</v>
      </c>
      <c r="K20" s="287">
        <v>204.99442999999999</v>
      </c>
      <c r="L20" s="287">
        <v>19</v>
      </c>
      <c r="M20" s="287">
        <v>12.918229999999999</v>
      </c>
      <c r="N20" s="287">
        <v>151.1</v>
      </c>
      <c r="O20" s="287">
        <v>223.33718999999999</v>
      </c>
      <c r="P20" s="287">
        <v>201.77414999999999</v>
      </c>
      <c r="Q20" s="287">
        <v>199.33436</v>
      </c>
      <c r="R20" s="287">
        <v>177.14</v>
      </c>
      <c r="S20" s="287">
        <v>0</v>
      </c>
      <c r="T20" s="287">
        <v>324.19898999999998</v>
      </c>
      <c r="U20" s="287">
        <v>340.09037000000001</v>
      </c>
      <c r="V20" s="287">
        <v>385.71015</v>
      </c>
      <c r="W20" s="287">
        <v>210.89608000000001</v>
      </c>
      <c r="X20" s="287">
        <v>225</v>
      </c>
      <c r="Y20" s="287">
        <v>65.975800000000007</v>
      </c>
      <c r="Z20" s="287">
        <v>30</v>
      </c>
      <c r="AA20" s="287">
        <v>78.29853</v>
      </c>
      <c r="AB20" s="287">
        <v>590.95015999999998</v>
      </c>
      <c r="AC20" s="287">
        <v>315.14258999999998</v>
      </c>
      <c r="AD20" s="287">
        <v>66.7</v>
      </c>
      <c r="AE20" s="287">
        <v>0</v>
      </c>
      <c r="AF20" s="287">
        <v>110.837</v>
      </c>
      <c r="AG20" s="287">
        <v>0</v>
      </c>
      <c r="AH20" s="60"/>
      <c r="AI20" s="20"/>
    </row>
    <row r="21" spans="1:35" s="22" customFormat="1" ht="53.25" customHeight="1" x14ac:dyDescent="0.25">
      <c r="A21" s="583"/>
      <c r="B21" s="555"/>
      <c r="C21" s="295"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87">
        <v>0</v>
      </c>
      <c r="K21" s="287">
        <v>0</v>
      </c>
      <c r="L21" s="287">
        <v>0</v>
      </c>
      <c r="M21" s="287">
        <v>0</v>
      </c>
      <c r="N21" s="287">
        <v>0</v>
      </c>
      <c r="O21" s="287">
        <v>0</v>
      </c>
      <c r="P21" s="287">
        <v>0</v>
      </c>
      <c r="Q21" s="287">
        <v>0</v>
      </c>
      <c r="R21" s="287">
        <v>0</v>
      </c>
      <c r="S21" s="287">
        <v>0</v>
      </c>
      <c r="T21" s="287">
        <v>0</v>
      </c>
      <c r="U21" s="287">
        <v>0</v>
      </c>
      <c r="V21" s="287">
        <v>0</v>
      </c>
      <c r="W21" s="287">
        <v>0</v>
      </c>
      <c r="X21" s="287">
        <v>0</v>
      </c>
      <c r="Y21" s="287">
        <v>0</v>
      </c>
      <c r="Z21" s="287">
        <v>0</v>
      </c>
      <c r="AA21" s="287">
        <v>0</v>
      </c>
      <c r="AB21" s="287">
        <v>0</v>
      </c>
      <c r="AC21" s="287">
        <v>0</v>
      </c>
      <c r="AD21" s="287">
        <v>78.12</v>
      </c>
      <c r="AE21" s="287">
        <v>0</v>
      </c>
      <c r="AF21" s="287">
        <v>0</v>
      </c>
      <c r="AG21" s="287">
        <v>0</v>
      </c>
      <c r="AH21" s="64"/>
      <c r="AI21" s="20"/>
    </row>
    <row r="22" spans="1:35" s="26" customFormat="1" ht="18.75" customHeight="1" x14ac:dyDescent="0.25">
      <c r="A22" s="132" t="s">
        <v>156</v>
      </c>
      <c r="B22" s="596" t="s">
        <v>165</v>
      </c>
      <c r="C22" s="597"/>
      <c r="D22" s="597"/>
      <c r="E22" s="597"/>
      <c r="F22" s="597"/>
      <c r="G22" s="597"/>
      <c r="H22" s="597"/>
      <c r="I22" s="597"/>
      <c r="J22" s="597"/>
      <c r="K22" s="597"/>
      <c r="L22" s="597"/>
      <c r="M22" s="597"/>
      <c r="N22" s="597"/>
      <c r="O22" s="597"/>
      <c r="P22" s="597"/>
      <c r="Q22" s="597"/>
      <c r="R22" s="597"/>
      <c r="S22" s="597"/>
      <c r="T22" s="597"/>
      <c r="U22" s="597"/>
      <c r="V22" s="597"/>
      <c r="W22" s="597"/>
      <c r="X22" s="597"/>
      <c r="Y22" s="597"/>
      <c r="Z22" s="597"/>
      <c r="AA22" s="597"/>
      <c r="AB22" s="597"/>
      <c r="AC22" s="597"/>
      <c r="AD22" s="597"/>
      <c r="AE22" s="597"/>
      <c r="AF22" s="597"/>
      <c r="AG22" s="598"/>
      <c r="AH22" s="75"/>
    </row>
    <row r="23" spans="1:35" s="131" customFormat="1" ht="112.5" customHeight="1" x14ac:dyDescent="0.25">
      <c r="A23" s="581" t="s">
        <v>157</v>
      </c>
      <c r="B23" s="553" t="s">
        <v>166</v>
      </c>
      <c r="C23" s="57" t="s">
        <v>20</v>
      </c>
      <c r="D23" s="82">
        <f>D24</f>
        <v>122517.36788999999</v>
      </c>
      <c r="E23" s="58">
        <f>E24</f>
        <v>108801.06999999999</v>
      </c>
      <c r="F23" s="58">
        <f>F24</f>
        <v>102711.85634</v>
      </c>
      <c r="G23" s="320">
        <f>G24</f>
        <v>102711.85634</v>
      </c>
      <c r="H23" s="58">
        <f>IFERROR(G23/D23*100,0)</f>
        <v>83.834527388980462</v>
      </c>
      <c r="I23" s="58">
        <f>IFERROR(G23/E23*100,0)</f>
        <v>94.40335130895312</v>
      </c>
      <c r="J23" s="499">
        <f t="shared" ref="J23:AG23" si="9">J24</f>
        <v>17145.027999999998</v>
      </c>
      <c r="K23" s="499">
        <f t="shared" si="9"/>
        <v>8806.2244300000002</v>
      </c>
      <c r="L23" s="499">
        <f t="shared" si="9"/>
        <v>10685.566000000001</v>
      </c>
      <c r="M23" s="499">
        <f t="shared" si="9"/>
        <v>12161.342049999999</v>
      </c>
      <c r="N23" s="499">
        <f t="shared" si="9"/>
        <v>8218.2867600000009</v>
      </c>
      <c r="O23" s="499">
        <f t="shared" si="9"/>
        <v>9820.1337199999998</v>
      </c>
      <c r="P23" s="499">
        <f t="shared" si="9"/>
        <v>12370.266240000001</v>
      </c>
      <c r="Q23" s="499">
        <f t="shared" si="9"/>
        <v>8989.7078399999991</v>
      </c>
      <c r="R23" s="499">
        <f t="shared" si="9"/>
        <v>10407.286</v>
      </c>
      <c r="S23" s="499">
        <f t="shared" si="9"/>
        <v>10470.558940000001</v>
      </c>
      <c r="T23" s="499">
        <f t="shared" si="9"/>
        <v>8216.5519999999997</v>
      </c>
      <c r="U23" s="499">
        <f t="shared" si="9"/>
        <v>9882.2743200000004</v>
      </c>
      <c r="V23" s="499">
        <f t="shared" si="9"/>
        <v>13570.646000000001</v>
      </c>
      <c r="W23" s="499">
        <f t="shared" si="9"/>
        <v>10649.06753</v>
      </c>
      <c r="X23" s="499">
        <f t="shared" si="9"/>
        <v>10001.063</v>
      </c>
      <c r="Y23" s="499">
        <f t="shared" si="9"/>
        <v>8164.5059000000001</v>
      </c>
      <c r="Z23" s="499">
        <f t="shared" si="9"/>
        <v>8268.0120000000006</v>
      </c>
      <c r="AA23" s="499">
        <f t="shared" si="9"/>
        <v>14224.37054</v>
      </c>
      <c r="AB23" s="499">
        <f t="shared" si="9"/>
        <v>9918.3639999999996</v>
      </c>
      <c r="AC23" s="301">
        <f t="shared" si="9"/>
        <v>9543.6710700000003</v>
      </c>
      <c r="AD23" s="301">
        <f t="shared" si="9"/>
        <v>8766.0938900000001</v>
      </c>
      <c r="AE23" s="301">
        <f t="shared" si="9"/>
        <v>0</v>
      </c>
      <c r="AF23" s="301">
        <f t="shared" si="9"/>
        <v>4950.2039999999997</v>
      </c>
      <c r="AG23" s="301">
        <f t="shared" si="9"/>
        <v>0</v>
      </c>
      <c r="AH23" s="503" t="s">
        <v>448</v>
      </c>
      <c r="AI23" s="19"/>
    </row>
    <row r="24" spans="1:35" s="18" customFormat="1" ht="115.5" customHeight="1" x14ac:dyDescent="0.25">
      <c r="A24" s="583"/>
      <c r="B24" s="555"/>
      <c r="C24" s="295"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500">
        <v>17145.027999999998</v>
      </c>
      <c r="K24" s="500">
        <v>8806.2244300000002</v>
      </c>
      <c r="L24" s="500">
        <v>10685.566000000001</v>
      </c>
      <c r="M24" s="500">
        <v>12161.342049999999</v>
      </c>
      <c r="N24" s="500">
        <v>8218.2867600000009</v>
      </c>
      <c r="O24" s="500">
        <v>9820.1337199999998</v>
      </c>
      <c r="P24" s="500">
        <v>12370.266240000001</v>
      </c>
      <c r="Q24" s="500">
        <v>8989.7078399999991</v>
      </c>
      <c r="R24" s="500">
        <v>10407.286</v>
      </c>
      <c r="S24" s="500">
        <v>10470.558940000001</v>
      </c>
      <c r="T24" s="500">
        <v>8216.5519999999997</v>
      </c>
      <c r="U24" s="500">
        <v>9882.2743200000004</v>
      </c>
      <c r="V24" s="500">
        <v>13570.646000000001</v>
      </c>
      <c r="W24" s="500">
        <v>10649.06753</v>
      </c>
      <c r="X24" s="500">
        <v>10001.063</v>
      </c>
      <c r="Y24" s="500">
        <v>8164.5059000000001</v>
      </c>
      <c r="Z24" s="500">
        <v>8268.0120000000006</v>
      </c>
      <c r="AA24" s="500">
        <v>14224.37054</v>
      </c>
      <c r="AB24" s="500">
        <v>9918.3639999999996</v>
      </c>
      <c r="AC24" s="287">
        <v>9543.6710700000003</v>
      </c>
      <c r="AD24" s="500">
        <v>8766.0938900000001</v>
      </c>
      <c r="AE24" s="287">
        <v>0</v>
      </c>
      <c r="AF24" s="287">
        <v>4950.2039999999997</v>
      </c>
      <c r="AG24" s="287">
        <v>0</v>
      </c>
      <c r="AH24" s="506"/>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2"/>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3"/>
    </customSheetView>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4"/>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5"/>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6"/>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7"/>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8"/>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9"/>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10"/>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11"/>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13"/>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6"/>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7"/>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20"/>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1"/>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22"/>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3"/>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24"/>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25"/>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6"/>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27"/>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28"/>
    </customSheetView>
  </customSheetViews>
  <mergeCells count="36">
    <mergeCell ref="B15:AG15"/>
    <mergeCell ref="B22:AG22"/>
    <mergeCell ref="A18:A21"/>
    <mergeCell ref="B18:B21"/>
    <mergeCell ref="A23:A24"/>
    <mergeCell ref="B23:B24"/>
    <mergeCell ref="A16:A17"/>
    <mergeCell ref="B16:B17"/>
    <mergeCell ref="A13:A14"/>
    <mergeCell ref="B13:B14"/>
    <mergeCell ref="V4:W5"/>
    <mergeCell ref="X4:Y5"/>
    <mergeCell ref="Z4:AA5"/>
    <mergeCell ref="G4:G5"/>
    <mergeCell ref="H4:I5"/>
    <mergeCell ref="AH4:AH6"/>
    <mergeCell ref="A8:A11"/>
    <mergeCell ref="B8:B11"/>
    <mergeCell ref="B12:AG12"/>
    <mergeCell ref="AD4:AE5"/>
    <mergeCell ref="AF4:AG5"/>
    <mergeCell ref="R4:S5"/>
    <mergeCell ref="T4:U5"/>
    <mergeCell ref="AB4:AC5"/>
    <mergeCell ref="J4:K5"/>
    <mergeCell ref="L4:M5"/>
    <mergeCell ref="N4:O5"/>
    <mergeCell ref="P4:Q5"/>
    <mergeCell ref="C2:S2"/>
    <mergeCell ref="C3:S3"/>
    <mergeCell ref="A4:A6"/>
    <mergeCell ref="B4:B6"/>
    <mergeCell ref="C4:C6"/>
    <mergeCell ref="D4:D5"/>
    <mergeCell ref="E4:E5"/>
    <mergeCell ref="F4:F5"/>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55"/>
      <c r="C3" s="567" t="s">
        <v>39</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282">
        <v>45962</v>
      </c>
      <c r="F6" s="282">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53"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582"/>
      <c r="B9" s="554"/>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582"/>
      <c r="B10" s="554"/>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583"/>
      <c r="B11" s="555"/>
      <c r="C11" s="376"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511" t="s">
        <v>43</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64"/>
    </row>
    <row r="13" spans="1:35" s="21" customFormat="1" ht="264" customHeight="1" x14ac:dyDescent="0.25">
      <c r="A13" s="581" t="s">
        <v>37</v>
      </c>
      <c r="B13" s="553"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62" t="s">
        <v>433</v>
      </c>
      <c r="AI13" s="23"/>
    </row>
    <row r="14" spans="1:35" s="292" customFormat="1" ht="66" customHeight="1" x14ac:dyDescent="0.25">
      <c r="A14" s="582"/>
      <c r="B14" s="554"/>
      <c r="C14" s="285" t="s">
        <v>21</v>
      </c>
      <c r="D14" s="286">
        <f>SUM(J14,L14,N14,P14,R14,T14,V14,X14,Z14,AB14,AD14,AF14)</f>
        <v>447602.96953</v>
      </c>
      <c r="E14" s="286">
        <f>J14+L14+N14+P14+R14+T14+V14+X14+Z14+AB14</f>
        <v>418925.27953</v>
      </c>
      <c r="F14" s="293">
        <f>G14</f>
        <v>383673.27847999998</v>
      </c>
      <c r="G14" s="286">
        <f>SUM(K14,M14,O14,Q14,S14,U14,W14,Y14,AA14,AC14,AE14,AG14)</f>
        <v>383673.27847999998</v>
      </c>
      <c r="H14" s="286">
        <f>IFERROR(G14/D14*100,0)</f>
        <v>85.717321956749174</v>
      </c>
      <c r="I14" s="286">
        <f>IFERROR(G14/E14*100,0)</f>
        <v>91.585133967195802</v>
      </c>
      <c r="J14" s="287">
        <v>19745.810000000001</v>
      </c>
      <c r="K14" s="287">
        <v>16225</v>
      </c>
      <c r="L14" s="287">
        <v>32146.23</v>
      </c>
      <c r="M14" s="290">
        <v>26753.46</v>
      </c>
      <c r="N14" s="287">
        <v>38451.609530000002</v>
      </c>
      <c r="O14" s="290">
        <v>34921.128479999999</v>
      </c>
      <c r="P14" s="287">
        <v>71688.37</v>
      </c>
      <c r="Q14" s="287">
        <f>10207.02+65222.8</f>
        <v>75429.820000000007</v>
      </c>
      <c r="R14" s="287">
        <f>9941.25+7319.9</f>
        <v>17261.150000000001</v>
      </c>
      <c r="S14" s="287">
        <v>15329.3</v>
      </c>
      <c r="T14" s="287">
        <v>44282.53</v>
      </c>
      <c r="U14" s="287">
        <v>37215.589999999997</v>
      </c>
      <c r="V14" s="287">
        <v>31493.71</v>
      </c>
      <c r="W14" s="287">
        <v>21999.46</v>
      </c>
      <c r="X14" s="287">
        <v>35301.93</v>
      </c>
      <c r="Y14" s="287">
        <v>34812.5</v>
      </c>
      <c r="Z14" s="287">
        <v>81239.399999999994</v>
      </c>
      <c r="AA14" s="287">
        <v>84682.05</v>
      </c>
      <c r="AB14" s="287">
        <v>47314.54</v>
      </c>
      <c r="AC14" s="287">
        <v>36304.97</v>
      </c>
      <c r="AD14" s="287">
        <v>11270.91</v>
      </c>
      <c r="AE14" s="287">
        <v>0</v>
      </c>
      <c r="AF14" s="287">
        <v>17406.78</v>
      </c>
      <c r="AG14" s="287">
        <v>0</v>
      </c>
      <c r="AH14" s="496" t="s">
        <v>434</v>
      </c>
      <c r="AI14" s="291"/>
    </row>
    <row r="15" spans="1:35" s="289" customFormat="1" ht="58.5" customHeight="1" x14ac:dyDescent="0.25">
      <c r="A15" s="583"/>
      <c r="B15" s="555"/>
      <c r="C15" s="285" t="s">
        <v>40</v>
      </c>
      <c r="D15" s="286">
        <f>SUM(J15,L15,N15,P15,R15,T15,V15,X15,Z15,AB15,AD15,AF15)</f>
        <v>4811.9979999999996</v>
      </c>
      <c r="E15" s="286">
        <f>J15+L15+N15+P15+R15+T15+V15+X15+Z15+AB15</f>
        <v>4143.0139999999992</v>
      </c>
      <c r="F15" s="294">
        <f>G15</f>
        <v>1935.33</v>
      </c>
      <c r="G15" s="286">
        <f>SUM(K15,M15,O15,Q15,S15,U15,W15,Y15,AA15,AC15,AE15,AG15)</f>
        <v>1935.33</v>
      </c>
      <c r="H15" s="286">
        <f>IFERROR(G15/D15*100,0)</f>
        <v>40.218844646236349</v>
      </c>
      <c r="I15" s="286">
        <f>IFERROR(G15/E15*100,0)</f>
        <v>46.713093414601069</v>
      </c>
      <c r="J15" s="287">
        <v>405.21</v>
      </c>
      <c r="K15" s="287">
        <v>95.28</v>
      </c>
      <c r="L15" s="287">
        <v>440.59</v>
      </c>
      <c r="M15" s="287">
        <v>74.86</v>
      </c>
      <c r="N15" s="287">
        <v>316.95</v>
      </c>
      <c r="O15" s="287">
        <v>16.68</v>
      </c>
      <c r="P15" s="287">
        <v>415.02</v>
      </c>
      <c r="Q15" s="287">
        <v>154.47</v>
      </c>
      <c r="R15" s="287">
        <v>377.0889999999996</v>
      </c>
      <c r="S15" s="287">
        <v>150.27000000000001</v>
      </c>
      <c r="T15" s="287">
        <v>456.59200000000021</v>
      </c>
      <c r="U15" s="287">
        <v>193.52</v>
      </c>
      <c r="V15" s="287">
        <v>497.37</v>
      </c>
      <c r="W15" s="287">
        <v>245.4</v>
      </c>
      <c r="X15" s="287">
        <v>579.06700000000012</v>
      </c>
      <c r="Y15" s="287">
        <v>287.62</v>
      </c>
      <c r="Z15" s="287">
        <v>352.53300000000002</v>
      </c>
      <c r="AA15" s="287">
        <v>436.59</v>
      </c>
      <c r="AB15" s="287">
        <v>302.59300000000007</v>
      </c>
      <c r="AC15" s="287">
        <v>280.64</v>
      </c>
      <c r="AD15" s="287">
        <v>316.916</v>
      </c>
      <c r="AE15" s="287">
        <v>0</v>
      </c>
      <c r="AF15" s="287">
        <v>352.06800000000032</v>
      </c>
      <c r="AG15" s="287">
        <v>0</v>
      </c>
      <c r="AH15" s="377"/>
      <c r="AI15" s="288"/>
    </row>
    <row r="16" spans="1:35" s="18" customFormat="1" ht="21" customHeight="1" x14ac:dyDescent="0.25">
      <c r="A16" s="68"/>
      <c r="B16" s="511" t="s">
        <v>42</v>
      </c>
      <c r="C16" s="512"/>
      <c r="D16" s="512"/>
      <c r="E16" s="512"/>
      <c r="F16" s="512"/>
      <c r="G16" s="512"/>
      <c r="H16" s="512"/>
      <c r="I16" s="512"/>
      <c r="J16" s="512"/>
      <c r="K16" s="512"/>
      <c r="L16" s="512"/>
      <c r="M16" s="512"/>
      <c r="N16" s="512"/>
      <c r="O16" s="512"/>
      <c r="P16" s="512"/>
      <c r="Q16" s="512"/>
      <c r="R16" s="512"/>
      <c r="S16" s="512"/>
      <c r="T16" s="512"/>
      <c r="U16" s="512"/>
      <c r="V16" s="512"/>
      <c r="W16" s="512"/>
      <c r="X16" s="512"/>
      <c r="Y16" s="512"/>
      <c r="Z16" s="512"/>
      <c r="AA16" s="512"/>
      <c r="AB16" s="512"/>
      <c r="AC16" s="512"/>
      <c r="AD16" s="512"/>
      <c r="AE16" s="512"/>
      <c r="AF16" s="512"/>
      <c r="AG16" s="513"/>
      <c r="AH16" s="46"/>
      <c r="AI16" s="19"/>
    </row>
    <row r="17" spans="1:35" s="21" customFormat="1" ht="195" customHeight="1" x14ac:dyDescent="0.25">
      <c r="A17" s="581" t="s">
        <v>38</v>
      </c>
      <c r="B17" s="553"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495" t="s">
        <v>432</v>
      </c>
      <c r="AI17" s="20"/>
    </row>
    <row r="18" spans="1:35" s="305" customFormat="1" ht="82.5" customHeight="1" x14ac:dyDescent="0.25">
      <c r="A18" s="582"/>
      <c r="B18" s="554"/>
      <c r="C18" s="285" t="s">
        <v>22</v>
      </c>
      <c r="D18" s="286">
        <f>SUM(J18,L18,N18,P18,R18,T18,V18,X18,Z18,AB18,AD18,AF18)</f>
        <v>5242.6965000000009</v>
      </c>
      <c r="E18" s="286">
        <f>J18+L18+N18+P18+R18+T18+V18+X18+Z18+AB18</f>
        <v>5233.7880000000005</v>
      </c>
      <c r="F18" s="286">
        <f>G18</f>
        <v>4096.37</v>
      </c>
      <c r="G18" s="286">
        <f>SUM(K18,M18,O18,Q18,S18,U18,W18,Y18,AA18,AC18,AE18,AG18)</f>
        <v>4096.37</v>
      </c>
      <c r="H18" s="286">
        <f>IFERROR(G18/D18*100,0)</f>
        <v>78.134791895735319</v>
      </c>
      <c r="I18" s="286">
        <f>IFERROR(G18/E18*100,0)</f>
        <v>78.267786161762757</v>
      </c>
      <c r="J18" s="306">
        <v>300</v>
      </c>
      <c r="K18" s="306"/>
      <c r="L18" s="287">
        <v>133.5</v>
      </c>
      <c r="M18" s="287">
        <v>433.5</v>
      </c>
      <c r="N18" s="287"/>
      <c r="O18" s="287"/>
      <c r="P18" s="287">
        <f>1360150/1000</f>
        <v>1360.15</v>
      </c>
      <c r="Q18" s="287"/>
      <c r="R18" s="287">
        <f>1402969.5/1000</f>
        <v>1402.9694999999999</v>
      </c>
      <c r="S18" s="287">
        <v>1331.51</v>
      </c>
      <c r="T18" s="287">
        <f>1059319.5/1000</f>
        <v>1059.3195000000001</v>
      </c>
      <c r="U18" s="287">
        <v>1471.62</v>
      </c>
      <c r="V18" s="287">
        <f>2969.5/1000</f>
        <v>2.9695</v>
      </c>
      <c r="W18" s="287">
        <v>2.97</v>
      </c>
      <c r="X18" s="287">
        <f>2969.5/1000</f>
        <v>2.9695</v>
      </c>
      <c r="Y18" s="287">
        <v>2.97</v>
      </c>
      <c r="Z18" s="287">
        <v>853.82</v>
      </c>
      <c r="AA18" s="287">
        <v>853.54</v>
      </c>
      <c r="AB18" s="287">
        <v>118.09</v>
      </c>
      <c r="AC18" s="287">
        <v>0.26</v>
      </c>
      <c r="AD18" s="287">
        <f>2969.5/1000</f>
        <v>2.9695</v>
      </c>
      <c r="AE18" s="287"/>
      <c r="AF18" s="287">
        <f>5939/1000</f>
        <v>5.9390000000000001</v>
      </c>
      <c r="AG18" s="287"/>
      <c r="AH18" s="494"/>
      <c r="AI18" s="304"/>
    </row>
    <row r="19" spans="1:35" s="289" customFormat="1" ht="92.25" customHeight="1" x14ac:dyDescent="0.25">
      <c r="A19" s="583"/>
      <c r="B19" s="555"/>
      <c r="C19" s="285" t="s">
        <v>21</v>
      </c>
      <c r="D19" s="286">
        <f>SUM(J19,L19,N19,P19,R19,T19,V19,X19,Z19,AB19,AD19,AF19)</f>
        <v>12682.300000000001</v>
      </c>
      <c r="E19" s="286">
        <f>J19+L19+N19+P19+R19+T19+V19+X19+Z19+AB19</f>
        <v>12682.300000000001</v>
      </c>
      <c r="F19" s="286">
        <f>G19</f>
        <v>8854.39</v>
      </c>
      <c r="G19" s="286">
        <f>SUM(K19,M19,O19,Q19,S19,U19,W19,Y19,AA19,AC19,AE19,AG19)</f>
        <v>8854.39</v>
      </c>
      <c r="H19" s="286">
        <f>IFERROR(G19/D19*100,0)</f>
        <v>69.816910181907048</v>
      </c>
      <c r="I19" s="286">
        <f>IFERROR(G19/E19*100,0)</f>
        <v>69.816910181907048</v>
      </c>
      <c r="J19" s="287">
        <v>0</v>
      </c>
      <c r="K19" s="287">
        <v>0</v>
      </c>
      <c r="L19" s="287">
        <v>1071.6500000000001</v>
      </c>
      <c r="M19" s="287">
        <v>1071.6500000000001</v>
      </c>
      <c r="N19" s="287">
        <v>1168.7</v>
      </c>
      <c r="O19" s="287">
        <v>1168.7</v>
      </c>
      <c r="P19" s="287">
        <v>1360.15</v>
      </c>
      <c r="Q19" s="287">
        <v>1360.15</v>
      </c>
      <c r="R19" s="287">
        <v>1000</v>
      </c>
      <c r="S19" s="287">
        <v>0</v>
      </c>
      <c r="T19" s="287">
        <v>2468.65</v>
      </c>
      <c r="U19" s="287">
        <v>0</v>
      </c>
      <c r="V19" s="287">
        <v>1456.35</v>
      </c>
      <c r="W19" s="287">
        <v>2702.25</v>
      </c>
      <c r="X19" s="287">
        <v>1487.35</v>
      </c>
      <c r="Y19" s="287">
        <v>1199.9000000000001</v>
      </c>
      <c r="Z19" s="287">
        <v>1000</v>
      </c>
      <c r="AA19" s="287">
        <v>316.58</v>
      </c>
      <c r="AB19" s="287">
        <v>1669.45</v>
      </c>
      <c r="AC19" s="287">
        <v>1035.1600000000001</v>
      </c>
      <c r="AD19" s="287">
        <v>0</v>
      </c>
      <c r="AE19" s="287"/>
      <c r="AF19" s="287"/>
      <c r="AG19" s="287"/>
      <c r="AH19" s="494"/>
      <c r="AI19" s="288"/>
    </row>
  </sheetData>
  <customSheetViews>
    <customSheetView guid="{133BB3F8-8DD4-4AEF-8CD6-A5FB14681329}" scale="80" state="hidden">
      <pane xSplit="6" ySplit="7" topLeftCell="G8" activePane="bottomRight" state="frozen"/>
      <selection pane="bottomRight" activeCell="Q19" sqref="Q19"/>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1"/>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2"/>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4"/>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s>
  <mergeCells count="31">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33" customFormat="1" ht="24" customHeight="1" x14ac:dyDescent="0.25">
      <c r="C3" s="567" t="s">
        <v>108</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33"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33" customFormat="1" ht="64.5" customHeight="1" x14ac:dyDescent="0.25">
      <c r="A6" s="570"/>
      <c r="B6" s="573"/>
      <c r="C6" s="573"/>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508"/>
      <c r="B8" s="559" t="s">
        <v>23</v>
      </c>
      <c r="C8" s="69" t="s">
        <v>20</v>
      </c>
      <c r="D8" s="70">
        <f>D9+D10</f>
        <v>29798.3</v>
      </c>
      <c r="E8" s="70">
        <f t="shared" ref="E8:G8" si="0">E9+E10</f>
        <v>10312.825999999999</v>
      </c>
      <c r="F8" s="70">
        <f t="shared" si="0"/>
        <v>22654.996419999999</v>
      </c>
      <c r="G8" s="70">
        <f t="shared" si="0"/>
        <v>22654.996419999999</v>
      </c>
      <c r="H8" s="70">
        <f>IFERROR(G8/D8*100,0)</f>
        <v>76.027815076699</v>
      </c>
      <c r="I8" s="70">
        <f>IFERROR(G8/E8*100,0)</f>
        <v>219.67786928626549</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9882.5784199999998</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529"/>
      <c r="B9" s="560"/>
      <c r="C9" s="73" t="s">
        <v>22</v>
      </c>
      <c r="D9" s="74">
        <f t="shared" ref="D9:D10" si="2">J9+L9+N9+P9+R9+T9+V9+X9+Z9+AB9+AD9+AF9</f>
        <v>4313.7</v>
      </c>
      <c r="E9" s="74">
        <f t="shared" ref="E9" si="3">J9</f>
        <v>0</v>
      </c>
      <c r="F9" s="74">
        <f t="shared" ref="F9:F10" si="4">G9</f>
        <v>4266.7</v>
      </c>
      <c r="G9" s="74">
        <f t="shared" ref="G9" si="5">K9+M9+O9+Q9+S9+U9+W9+Y9+AA9+AC9+AE9+AG9</f>
        <v>4266.7</v>
      </c>
      <c r="H9" s="74">
        <f>IFERROR(G9/D9*100,0)</f>
        <v>98.910448107193361</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0</v>
      </c>
      <c r="U9" s="74">
        <f t="shared" si="6"/>
        <v>0</v>
      </c>
      <c r="V9" s="74">
        <f t="shared" si="6"/>
        <v>4313.7</v>
      </c>
      <c r="W9" s="74">
        <f t="shared" si="6"/>
        <v>0</v>
      </c>
      <c r="X9" s="74">
        <f t="shared" si="6"/>
        <v>0</v>
      </c>
      <c r="Y9" s="74">
        <f t="shared" si="6"/>
        <v>0</v>
      </c>
      <c r="Z9" s="74">
        <f t="shared" si="6"/>
        <v>0</v>
      </c>
      <c r="AA9" s="74">
        <f t="shared" si="6"/>
        <v>4266.7</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509"/>
      <c r="B10" s="561"/>
      <c r="C10" s="73" t="s">
        <v>21</v>
      </c>
      <c r="D10" s="74">
        <f t="shared" si="2"/>
        <v>25484.6</v>
      </c>
      <c r="E10" s="74">
        <f>J10+L10+N10+P10+R10+T10</f>
        <v>10312.825999999999</v>
      </c>
      <c r="F10" s="74">
        <f t="shared" si="4"/>
        <v>18388.296419999999</v>
      </c>
      <c r="G10" s="74">
        <f>K10+M10+O10+Q10+S10+U10+W10+Y10+AA10+AC10+AE10+AG10</f>
        <v>18388.296419999999</v>
      </c>
      <c r="H10" s="74">
        <f>IFERROR(G10/D10*100,0)</f>
        <v>72.154542037151842</v>
      </c>
      <c r="I10" s="74">
        <f>IFERROR(G10/E10*100,0)</f>
        <v>178.30511656067893</v>
      </c>
      <c r="J10" s="74">
        <f>J14+J22</f>
        <v>2833.6880000000001</v>
      </c>
      <c r="K10" s="74">
        <f t="shared" ref="K10:AG10" si="7">K14+K22</f>
        <v>1404.721</v>
      </c>
      <c r="L10" s="74">
        <f t="shared" si="7"/>
        <v>1680.212</v>
      </c>
      <c r="M10" s="74">
        <f t="shared" si="7"/>
        <v>2087.2600000000002</v>
      </c>
      <c r="N10" s="74">
        <f t="shared" si="7"/>
        <v>1068.1030000000001</v>
      </c>
      <c r="O10" s="74">
        <f>O14+O22</f>
        <v>1354.241</v>
      </c>
      <c r="P10" s="74">
        <f t="shared" si="7"/>
        <v>2024.9739999999999</v>
      </c>
      <c r="Q10" s="74">
        <f t="shared" si="7"/>
        <v>1331.1</v>
      </c>
      <c r="R10" s="74">
        <f t="shared" si="7"/>
        <v>1527.9469999999999</v>
      </c>
      <c r="S10" s="74">
        <f t="shared" si="7"/>
        <v>1187.7760000000001</v>
      </c>
      <c r="T10" s="74">
        <f t="shared" si="7"/>
        <v>1177.902</v>
      </c>
      <c r="U10" s="74">
        <f t="shared" si="7"/>
        <v>1824.8240000000001</v>
      </c>
      <c r="V10" s="74">
        <f t="shared" si="7"/>
        <v>5453.7740000000003</v>
      </c>
      <c r="W10" s="74">
        <f t="shared" si="7"/>
        <v>2041.5350000000001</v>
      </c>
      <c r="X10" s="74">
        <f t="shared" si="7"/>
        <v>4127.9470000000001</v>
      </c>
      <c r="Y10" s="74">
        <f t="shared" si="7"/>
        <v>1540.961</v>
      </c>
      <c r="Z10" s="74">
        <f t="shared" si="7"/>
        <v>1127.702</v>
      </c>
      <c r="AA10" s="74">
        <f t="shared" si="7"/>
        <v>5615.87842</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511" t="s">
        <v>102</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64"/>
    </row>
    <row r="12" spans="1:35" s="50" customFormat="1" ht="25.5" customHeight="1" x14ac:dyDescent="0.25">
      <c r="A12" s="547" t="s">
        <v>103</v>
      </c>
      <c r="B12" s="553" t="s">
        <v>104</v>
      </c>
      <c r="C12" s="57" t="s">
        <v>20</v>
      </c>
      <c r="D12" s="58">
        <f>D14+D13</f>
        <v>10342.5</v>
      </c>
      <c r="E12" s="58">
        <f t="shared" ref="E12:G12" si="8">E14+E13</f>
        <v>10342.5</v>
      </c>
      <c r="F12" s="58">
        <f t="shared" si="8"/>
        <v>7181.3189999999995</v>
      </c>
      <c r="G12" s="58">
        <f t="shared" si="8"/>
        <v>7181.3189999999995</v>
      </c>
      <c r="H12" s="58">
        <f t="shared" ref="H12" si="9">IFERROR(G12/D12*100,0)</f>
        <v>69.435039883973886</v>
      </c>
      <c r="I12" s="58">
        <f>IFERROR(G12/E12*100,0)</f>
        <v>69.435039883973886</v>
      </c>
      <c r="J12" s="59">
        <f>J14+J13</f>
        <v>0</v>
      </c>
      <c r="K12" s="59">
        <f t="shared" ref="K12:AG12" si="10">K14+K13</f>
        <v>0</v>
      </c>
      <c r="L12" s="59">
        <f t="shared" si="10"/>
        <v>0</v>
      </c>
      <c r="M12" s="59">
        <f t="shared" si="10"/>
        <v>0</v>
      </c>
      <c r="N12" s="59">
        <f t="shared" si="10"/>
        <v>0</v>
      </c>
      <c r="O12" s="59">
        <f t="shared" si="10"/>
        <v>0</v>
      </c>
      <c r="P12" s="59">
        <f t="shared" si="10"/>
        <v>0</v>
      </c>
      <c r="Q12" s="59">
        <f t="shared" si="10"/>
        <v>0</v>
      </c>
      <c r="R12" s="59">
        <f t="shared" si="10"/>
        <v>0</v>
      </c>
      <c r="S12" s="59">
        <f t="shared" si="10"/>
        <v>0</v>
      </c>
      <c r="T12" s="59">
        <f t="shared" si="10"/>
        <v>0</v>
      </c>
      <c r="U12" s="59">
        <f t="shared" si="10"/>
        <v>0</v>
      </c>
      <c r="V12" s="59">
        <f t="shared" si="10"/>
        <v>7742.5</v>
      </c>
      <c r="W12" s="59">
        <f t="shared" si="10"/>
        <v>0</v>
      </c>
      <c r="X12" s="59">
        <f t="shared" si="10"/>
        <v>2600</v>
      </c>
      <c r="Y12" s="59">
        <f t="shared" si="10"/>
        <v>0</v>
      </c>
      <c r="Z12" s="59">
        <f t="shared" si="10"/>
        <v>0</v>
      </c>
      <c r="AA12" s="59">
        <f t="shared" si="10"/>
        <v>7181.3189999999995</v>
      </c>
      <c r="AB12" s="59">
        <f t="shared" si="10"/>
        <v>0</v>
      </c>
      <c r="AC12" s="59">
        <f t="shared" si="10"/>
        <v>0</v>
      </c>
      <c r="AD12" s="59">
        <f t="shared" si="10"/>
        <v>0</v>
      </c>
      <c r="AE12" s="59">
        <f t="shared" si="10"/>
        <v>0</v>
      </c>
      <c r="AF12" s="59">
        <f t="shared" si="10"/>
        <v>0</v>
      </c>
      <c r="AG12" s="59">
        <f t="shared" si="10"/>
        <v>0</v>
      </c>
      <c r="AH12" s="60"/>
      <c r="AI12" s="49"/>
    </row>
    <row r="13" spans="1:35" s="44" customFormat="1" ht="51.75" customHeight="1" x14ac:dyDescent="0.25">
      <c r="A13" s="548"/>
      <c r="B13" s="554"/>
      <c r="C13" s="73" t="s">
        <v>22</v>
      </c>
      <c r="D13" s="74">
        <f>SUM(J13,L13,N13,P13,R13,T13,V13,X13,Z13,AB13,AD13,AF13)</f>
        <v>4313.7</v>
      </c>
      <c r="E13" s="74">
        <f>J13+L13+N13+P13+R13+T13+V13+X13+Z13</f>
        <v>4313.7</v>
      </c>
      <c r="F13" s="74">
        <f>G13</f>
        <v>4266.7</v>
      </c>
      <c r="G13" s="74">
        <f>SUM(K13,M13,O13,Q13,S13,U13,W13,Y13,AA13,AC13,AE13,AG13)</f>
        <v>4266.7</v>
      </c>
      <c r="H13" s="74">
        <f>IFERROR(G13/D13*100,0)</f>
        <v>98.910448107193361</v>
      </c>
      <c r="I13" s="74">
        <f>IFERROR(G13/E13*100,0)</f>
        <v>98.910448107193361</v>
      </c>
      <c r="J13" s="67">
        <f>J16+J19</f>
        <v>0</v>
      </c>
      <c r="K13" s="67">
        <f t="shared" ref="K13:AG13" si="11">K16+K19</f>
        <v>0</v>
      </c>
      <c r="L13" s="67">
        <f t="shared" si="11"/>
        <v>0</v>
      </c>
      <c r="M13" s="67">
        <f t="shared" si="11"/>
        <v>0</v>
      </c>
      <c r="N13" s="67">
        <f t="shared" si="11"/>
        <v>0</v>
      </c>
      <c r="O13" s="67">
        <f t="shared" si="11"/>
        <v>0</v>
      </c>
      <c r="P13" s="67">
        <f t="shared" si="11"/>
        <v>0</v>
      </c>
      <c r="Q13" s="67">
        <f t="shared" si="11"/>
        <v>0</v>
      </c>
      <c r="R13" s="67">
        <f t="shared" si="11"/>
        <v>0</v>
      </c>
      <c r="S13" s="67">
        <f t="shared" si="11"/>
        <v>0</v>
      </c>
      <c r="T13" s="67">
        <f t="shared" si="11"/>
        <v>0</v>
      </c>
      <c r="U13" s="67">
        <f t="shared" si="11"/>
        <v>0</v>
      </c>
      <c r="V13" s="67">
        <f t="shared" si="11"/>
        <v>4313.7</v>
      </c>
      <c r="W13" s="67">
        <f t="shared" si="11"/>
        <v>0</v>
      </c>
      <c r="X13" s="67">
        <f t="shared" si="11"/>
        <v>0</v>
      </c>
      <c r="Y13" s="67">
        <f t="shared" si="11"/>
        <v>0</v>
      </c>
      <c r="Z13" s="67">
        <f t="shared" si="11"/>
        <v>0</v>
      </c>
      <c r="AA13" s="67">
        <f t="shared" si="11"/>
        <v>4266.7</v>
      </c>
      <c r="AB13" s="67">
        <f t="shared" si="11"/>
        <v>0</v>
      </c>
      <c r="AC13" s="67">
        <f t="shared" si="11"/>
        <v>0</v>
      </c>
      <c r="AD13" s="67">
        <f t="shared" si="11"/>
        <v>0</v>
      </c>
      <c r="AE13" s="67">
        <f t="shared" si="11"/>
        <v>0</v>
      </c>
      <c r="AF13" s="67">
        <f t="shared" si="11"/>
        <v>0</v>
      </c>
      <c r="AG13" s="67">
        <f t="shared" si="11"/>
        <v>0</v>
      </c>
      <c r="AH13" s="72"/>
      <c r="AI13" s="51"/>
    </row>
    <row r="14" spans="1:35" s="44" customFormat="1" ht="32.25" customHeight="1" x14ac:dyDescent="0.25">
      <c r="A14" s="520"/>
      <c r="B14" s="554"/>
      <c r="C14" s="73" t="s">
        <v>21</v>
      </c>
      <c r="D14" s="74">
        <f>SUM(J14,L14,N14,P14,R14,T14,V14,X14,Z14,AB14,AD14,AF14)</f>
        <v>6028.8</v>
      </c>
      <c r="E14" s="74">
        <f>J14+L14+N14+P14+R14+T14+V14+X14+Z14</f>
        <v>6028.8</v>
      </c>
      <c r="F14" s="74">
        <f>G14</f>
        <v>2914.6190000000001</v>
      </c>
      <c r="G14" s="74">
        <f>SUM(K14,M14,O14,Q14,S14,U14,W14,Y14,AA14,AC14,AE14,AG14)</f>
        <v>2914.6190000000001</v>
      </c>
      <c r="H14" s="74">
        <f>IFERROR(G14/D14*100,0)</f>
        <v>48.344927680467094</v>
      </c>
      <c r="I14" s="74">
        <f>IFERROR(G14/E14*100,0)</f>
        <v>48.344927680467094</v>
      </c>
      <c r="J14" s="67">
        <f>J17+J20</f>
        <v>0</v>
      </c>
      <c r="K14" s="67">
        <f t="shared" ref="K14:AG14" si="12">K17+K20</f>
        <v>0</v>
      </c>
      <c r="L14" s="67">
        <f t="shared" si="12"/>
        <v>0</v>
      </c>
      <c r="M14" s="67">
        <f t="shared" si="12"/>
        <v>0</v>
      </c>
      <c r="N14" s="67">
        <f t="shared" si="12"/>
        <v>0</v>
      </c>
      <c r="O14" s="67">
        <f t="shared" si="12"/>
        <v>0</v>
      </c>
      <c r="P14" s="67">
        <f t="shared" si="12"/>
        <v>0</v>
      </c>
      <c r="Q14" s="67">
        <f t="shared" si="12"/>
        <v>0</v>
      </c>
      <c r="R14" s="67">
        <f t="shared" si="12"/>
        <v>0</v>
      </c>
      <c r="S14" s="67">
        <f t="shared" si="12"/>
        <v>0</v>
      </c>
      <c r="T14" s="67">
        <f t="shared" si="12"/>
        <v>0</v>
      </c>
      <c r="U14" s="67">
        <f t="shared" si="12"/>
        <v>0</v>
      </c>
      <c r="V14" s="67">
        <f t="shared" si="12"/>
        <v>3428.8</v>
      </c>
      <c r="W14" s="67">
        <f t="shared" si="12"/>
        <v>0</v>
      </c>
      <c r="X14" s="67">
        <f t="shared" si="12"/>
        <v>2600</v>
      </c>
      <c r="Y14" s="67">
        <f t="shared" si="12"/>
        <v>0</v>
      </c>
      <c r="Z14" s="67">
        <f t="shared" si="12"/>
        <v>0</v>
      </c>
      <c r="AA14" s="67">
        <f t="shared" si="12"/>
        <v>2914.6190000000001</v>
      </c>
      <c r="AB14" s="67">
        <f t="shared" si="12"/>
        <v>0</v>
      </c>
      <c r="AC14" s="67">
        <f t="shared" si="12"/>
        <v>0</v>
      </c>
      <c r="AD14" s="67">
        <f t="shared" si="12"/>
        <v>0</v>
      </c>
      <c r="AE14" s="67">
        <f t="shared" si="12"/>
        <v>0</v>
      </c>
      <c r="AF14" s="67">
        <f t="shared" si="12"/>
        <v>0</v>
      </c>
      <c r="AG14" s="67">
        <f t="shared" si="12"/>
        <v>0</v>
      </c>
      <c r="AH14" s="72"/>
      <c r="AI14" s="51"/>
    </row>
    <row r="15" spans="1:35" s="50" customFormat="1" ht="27" customHeight="1" x14ac:dyDescent="0.25">
      <c r="A15" s="547"/>
      <c r="B15" s="545" t="s">
        <v>105</v>
      </c>
      <c r="C15" s="57" t="s">
        <v>20</v>
      </c>
      <c r="D15" s="58">
        <f>D17+D16</f>
        <v>7742.5</v>
      </c>
      <c r="E15" s="58">
        <f t="shared" ref="E15:G15" si="13">E17+E16</f>
        <v>7742.5</v>
      </c>
      <c r="F15" s="58">
        <f t="shared" si="13"/>
        <v>7181.3189999999995</v>
      </c>
      <c r="G15" s="58">
        <f t="shared" si="13"/>
        <v>7181.3189999999995</v>
      </c>
      <c r="H15" s="58">
        <f t="shared" ref="H15" si="14">IFERROR(G15/D15*100,0)</f>
        <v>92.751940587665473</v>
      </c>
      <c r="I15" s="58">
        <f t="shared" ref="I15" si="15">IFERROR(G15/E15*100,0)</f>
        <v>92.751940587665473</v>
      </c>
      <c r="J15" s="59">
        <f>J17+J16</f>
        <v>0</v>
      </c>
      <c r="K15" s="59">
        <f t="shared" ref="K15:AG15" si="16">K17+K16</f>
        <v>0</v>
      </c>
      <c r="L15" s="59">
        <f t="shared" si="16"/>
        <v>0</v>
      </c>
      <c r="M15" s="59">
        <f t="shared" si="16"/>
        <v>0</v>
      </c>
      <c r="N15" s="59">
        <f t="shared" si="16"/>
        <v>0</v>
      </c>
      <c r="O15" s="59">
        <f t="shared" si="16"/>
        <v>0</v>
      </c>
      <c r="P15" s="59">
        <f t="shared" si="16"/>
        <v>0</v>
      </c>
      <c r="Q15" s="59">
        <f t="shared" si="16"/>
        <v>0</v>
      </c>
      <c r="R15" s="59">
        <f t="shared" si="16"/>
        <v>0</v>
      </c>
      <c r="S15" s="59">
        <f t="shared" si="16"/>
        <v>0</v>
      </c>
      <c r="T15" s="59">
        <f t="shared" si="16"/>
        <v>0</v>
      </c>
      <c r="U15" s="59">
        <f t="shared" si="16"/>
        <v>0</v>
      </c>
      <c r="V15" s="59">
        <f t="shared" si="16"/>
        <v>7742.5</v>
      </c>
      <c r="W15" s="59">
        <f t="shared" si="16"/>
        <v>0</v>
      </c>
      <c r="X15" s="59">
        <f t="shared" si="16"/>
        <v>0</v>
      </c>
      <c r="Y15" s="59">
        <f t="shared" si="16"/>
        <v>0</v>
      </c>
      <c r="Z15" s="59">
        <f t="shared" si="16"/>
        <v>0</v>
      </c>
      <c r="AA15" s="59">
        <f t="shared" si="16"/>
        <v>7181.3189999999995</v>
      </c>
      <c r="AB15" s="59">
        <f t="shared" si="16"/>
        <v>0</v>
      </c>
      <c r="AC15" s="59">
        <f t="shared" si="16"/>
        <v>0</v>
      </c>
      <c r="AD15" s="59">
        <f t="shared" si="16"/>
        <v>0</v>
      </c>
      <c r="AE15" s="59">
        <f t="shared" si="16"/>
        <v>0</v>
      </c>
      <c r="AF15" s="59">
        <f t="shared" si="16"/>
        <v>0</v>
      </c>
      <c r="AG15" s="59">
        <f t="shared" si="16"/>
        <v>0</v>
      </c>
      <c r="AH15" s="60"/>
      <c r="AI15" s="49"/>
    </row>
    <row r="16" spans="1:35" s="50" customFormat="1" ht="54" customHeight="1" x14ac:dyDescent="0.25">
      <c r="A16" s="548"/>
      <c r="B16" s="546"/>
      <c r="C16" s="61" t="s">
        <v>22</v>
      </c>
      <c r="D16" s="62">
        <f>SUM(J16,L16,N16,P16,R16,T16,V16,X16,Z16,AB16,AD16,AF16)</f>
        <v>4313.7</v>
      </c>
      <c r="E16" s="74">
        <f>J16+L16+N16+P16+R16+T16+V16+X16+Z16</f>
        <v>4313.7</v>
      </c>
      <c r="F16" s="62">
        <f>G16</f>
        <v>4266.7</v>
      </c>
      <c r="G16" s="62">
        <f>SUM(K16,M16,O16,Q16,S16,U16,W16,Y16,AA16,AC16,AE16,AG16)</f>
        <v>4266.7</v>
      </c>
      <c r="H16" s="62">
        <f>IFERROR(G16/D16*100,0)</f>
        <v>98.910448107193361</v>
      </c>
      <c r="I16" s="62">
        <f>IFERROR(G16/E16*100,0)</f>
        <v>98.910448107193361</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4266.7</v>
      </c>
      <c r="AB16" s="63">
        <v>0</v>
      </c>
      <c r="AC16" s="63">
        <v>0</v>
      </c>
      <c r="AD16" s="63">
        <v>0</v>
      </c>
      <c r="AE16" s="63">
        <v>0</v>
      </c>
      <c r="AF16" s="63">
        <v>0</v>
      </c>
      <c r="AG16" s="63">
        <v>0</v>
      </c>
      <c r="AH16" s="60"/>
      <c r="AI16" s="49"/>
    </row>
    <row r="17" spans="1:35" s="50" customFormat="1" ht="42" customHeight="1" x14ac:dyDescent="0.25">
      <c r="A17" s="520"/>
      <c r="B17" s="546"/>
      <c r="C17" s="61" t="s">
        <v>21</v>
      </c>
      <c r="D17" s="62">
        <f>SUM(J17,L17,N17,P17,R17,T17,V17,X17,Z17,AB17,AD17,AF17)</f>
        <v>3428.8</v>
      </c>
      <c r="E17" s="74">
        <f>J17+L17+N17+P17+R17+T17+V17+X17+Z17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60"/>
      <c r="AI17" s="49"/>
    </row>
    <row r="18" spans="1:35" s="50" customFormat="1" ht="42.75" customHeight="1" x14ac:dyDescent="0.25">
      <c r="A18" s="520"/>
      <c r="B18" s="545" t="s">
        <v>106</v>
      </c>
      <c r="C18" s="57" t="s">
        <v>20</v>
      </c>
      <c r="D18" s="58">
        <f>D20+D19</f>
        <v>2600</v>
      </c>
      <c r="E18" s="58">
        <f>E20+E19</f>
        <v>2600</v>
      </c>
      <c r="F18" s="58">
        <f t="shared" ref="F18:G18" si="17">F20+F19</f>
        <v>0</v>
      </c>
      <c r="G18" s="58">
        <f t="shared" si="17"/>
        <v>0</v>
      </c>
      <c r="H18" s="58">
        <f t="shared" ref="H18" si="18">IFERROR(G18/D18*100,0)</f>
        <v>0</v>
      </c>
      <c r="I18" s="58">
        <f t="shared" ref="I18" si="19">IFERROR(G18/E18*100,0)</f>
        <v>0</v>
      </c>
      <c r="J18" s="59">
        <f>J20+J19</f>
        <v>0</v>
      </c>
      <c r="K18" s="59">
        <f t="shared" ref="K18:AG18" si="20">K20+K19</f>
        <v>0</v>
      </c>
      <c r="L18" s="59">
        <f t="shared" si="20"/>
        <v>0</v>
      </c>
      <c r="M18" s="59">
        <f t="shared" si="20"/>
        <v>0</v>
      </c>
      <c r="N18" s="59">
        <f t="shared" si="20"/>
        <v>0</v>
      </c>
      <c r="O18" s="59">
        <f t="shared" si="20"/>
        <v>0</v>
      </c>
      <c r="P18" s="59">
        <f t="shared" si="20"/>
        <v>0</v>
      </c>
      <c r="Q18" s="59">
        <f t="shared" si="20"/>
        <v>0</v>
      </c>
      <c r="R18" s="59">
        <f t="shared" si="20"/>
        <v>0</v>
      </c>
      <c r="S18" s="59">
        <f t="shared" si="20"/>
        <v>0</v>
      </c>
      <c r="T18" s="59">
        <f t="shared" si="20"/>
        <v>0</v>
      </c>
      <c r="U18" s="59">
        <f t="shared" si="20"/>
        <v>0</v>
      </c>
      <c r="V18" s="59">
        <f t="shared" si="20"/>
        <v>0</v>
      </c>
      <c r="W18" s="59">
        <f t="shared" si="20"/>
        <v>0</v>
      </c>
      <c r="X18" s="59">
        <f t="shared" si="20"/>
        <v>2600</v>
      </c>
      <c r="Y18" s="59">
        <f t="shared" si="20"/>
        <v>0</v>
      </c>
      <c r="Z18" s="59">
        <f t="shared" si="20"/>
        <v>0</v>
      </c>
      <c r="AA18" s="59">
        <f t="shared" si="20"/>
        <v>0</v>
      </c>
      <c r="AB18" s="59">
        <f t="shared" si="20"/>
        <v>0</v>
      </c>
      <c r="AC18" s="59">
        <f t="shared" si="20"/>
        <v>0</v>
      </c>
      <c r="AD18" s="59">
        <f t="shared" si="20"/>
        <v>0</v>
      </c>
      <c r="AE18" s="59">
        <f t="shared" si="20"/>
        <v>0</v>
      </c>
      <c r="AF18" s="59">
        <f t="shared" si="20"/>
        <v>0</v>
      </c>
      <c r="AG18" s="59">
        <f t="shared" si="20"/>
        <v>0</v>
      </c>
      <c r="AH18" s="60"/>
      <c r="AI18" s="49"/>
    </row>
    <row r="19" spans="1:35" s="50" customFormat="1" ht="58.5" hidden="1" customHeight="1" x14ac:dyDescent="0.25">
      <c r="A19" s="520"/>
      <c r="B19" s="546"/>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521"/>
      <c r="B20" s="546"/>
      <c r="C20" s="61" t="s">
        <v>21</v>
      </c>
      <c r="D20" s="62">
        <f>SUM(J20,L20,N20,P20,R20,T20,V20,X20,Z20,AB20,AD20,AF20)</f>
        <v>2600</v>
      </c>
      <c r="E20" s="74">
        <f>J20+L20+N20+P20+R20+T20+V20+X20+Z20</f>
        <v>2600</v>
      </c>
      <c r="F20" s="74">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0</v>
      </c>
      <c r="AF20" s="63">
        <v>0</v>
      </c>
      <c r="AG20" s="63">
        <v>0</v>
      </c>
      <c r="AH20" s="60"/>
      <c r="AI20" s="49"/>
    </row>
    <row r="21" spans="1:35" s="42" customFormat="1" ht="27" customHeight="1" x14ac:dyDescent="0.25">
      <c r="A21" s="508" t="s">
        <v>37</v>
      </c>
      <c r="B21" s="559" t="s">
        <v>107</v>
      </c>
      <c r="C21" s="69" t="s">
        <v>20</v>
      </c>
      <c r="D21" s="70">
        <f>D22</f>
        <v>19455.8</v>
      </c>
      <c r="E21" s="70">
        <f t="shared" ref="E21:G21" si="21">E22</f>
        <v>14993.448999999999</v>
      </c>
      <c r="F21" s="70">
        <f t="shared" si="21"/>
        <v>15473.67742</v>
      </c>
      <c r="G21" s="70">
        <f t="shared" si="21"/>
        <v>15473.67742</v>
      </c>
      <c r="H21" s="70">
        <f t="shared" ref="H21" si="22">IFERROR(G21/D21*100,0)</f>
        <v>79.532465485870546</v>
      </c>
      <c r="I21" s="70">
        <f t="shared" ref="I21:I22" si="23">IFERROR(G21/E21*100,0)</f>
        <v>103.20292162263667</v>
      </c>
      <c r="J21" s="71">
        <f t="shared" ref="J21:AG21" si="24">SUM(J22:J22)</f>
        <v>2833.6880000000001</v>
      </c>
      <c r="K21" s="71">
        <f t="shared" si="24"/>
        <v>1404.721</v>
      </c>
      <c r="L21" s="71">
        <f t="shared" si="24"/>
        <v>1680.212</v>
      </c>
      <c r="M21" s="71">
        <f t="shared" si="24"/>
        <v>2087.2600000000002</v>
      </c>
      <c r="N21" s="71">
        <f t="shared" si="24"/>
        <v>1068.1030000000001</v>
      </c>
      <c r="O21" s="71">
        <f t="shared" si="24"/>
        <v>1354.241</v>
      </c>
      <c r="P21" s="71">
        <f t="shared" si="24"/>
        <v>2024.9739999999999</v>
      </c>
      <c r="Q21" s="71">
        <f t="shared" si="24"/>
        <v>1331.1</v>
      </c>
      <c r="R21" s="71">
        <f t="shared" si="24"/>
        <v>1527.9469999999999</v>
      </c>
      <c r="S21" s="71">
        <f t="shared" si="24"/>
        <v>1187.7760000000001</v>
      </c>
      <c r="T21" s="71">
        <f t="shared" si="24"/>
        <v>1177.902</v>
      </c>
      <c r="U21" s="71">
        <f t="shared" si="24"/>
        <v>1824.8240000000001</v>
      </c>
      <c r="V21" s="71">
        <f t="shared" si="24"/>
        <v>2024.9739999999999</v>
      </c>
      <c r="W21" s="71">
        <f t="shared" si="24"/>
        <v>2041.5350000000001</v>
      </c>
      <c r="X21" s="71">
        <f t="shared" si="24"/>
        <v>1527.9469999999999</v>
      </c>
      <c r="Y21" s="71">
        <f t="shared" si="24"/>
        <v>1540.961</v>
      </c>
      <c r="Z21" s="71">
        <f t="shared" si="24"/>
        <v>1127.702</v>
      </c>
      <c r="AA21" s="71">
        <f t="shared" si="24"/>
        <v>2701.2594199999999</v>
      </c>
      <c r="AB21" s="71">
        <f t="shared" si="24"/>
        <v>1668.9380000000001</v>
      </c>
      <c r="AC21" s="71">
        <f t="shared" si="24"/>
        <v>0</v>
      </c>
      <c r="AD21" s="71">
        <f t="shared" si="24"/>
        <v>1420.425</v>
      </c>
      <c r="AE21" s="71">
        <f t="shared" si="24"/>
        <v>0</v>
      </c>
      <c r="AF21" s="71">
        <f t="shared" si="24"/>
        <v>1372.9880000000001</v>
      </c>
      <c r="AG21" s="71">
        <f t="shared" si="24"/>
        <v>0</v>
      </c>
      <c r="AH21" s="72"/>
      <c r="AI21" s="51"/>
    </row>
    <row r="22" spans="1:35" s="44" customFormat="1" ht="111.75" customHeight="1" x14ac:dyDescent="0.25">
      <c r="A22" s="509"/>
      <c r="B22" s="561"/>
      <c r="C22" s="73" t="s">
        <v>21</v>
      </c>
      <c r="D22" s="74">
        <f>SUM(J22,L22,N22,P22,R22,T22,V22,X22,Z22,AB22,AD22,AF22)</f>
        <v>19455.8</v>
      </c>
      <c r="E22" s="74">
        <f>J22+L22+N22+P22+R22+T22+V22+X22+Z22</f>
        <v>14993.448999999999</v>
      </c>
      <c r="F22" s="74">
        <f>G22</f>
        <v>15473.67742</v>
      </c>
      <c r="G22" s="74">
        <f>SUM(K22,M22,O22,Q22,S22,U22,W22,Y22,AA22,AC22,AE22,AG22)</f>
        <v>15473.67742</v>
      </c>
      <c r="H22" s="74">
        <f>IFERROR(G22/D22*100,0)</f>
        <v>79.532465485870546</v>
      </c>
      <c r="I22" s="74">
        <f t="shared" si="23"/>
        <v>103.20292162263667</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0</v>
      </c>
      <c r="AD22" s="67">
        <v>1420.425</v>
      </c>
      <c r="AE22" s="67">
        <v>0</v>
      </c>
      <c r="AF22" s="67">
        <v>1372.9880000000001</v>
      </c>
      <c r="AG22" s="67">
        <v>0</v>
      </c>
      <c r="AH22" s="75"/>
      <c r="AI22" s="51"/>
    </row>
  </sheetData>
  <customSheetViews>
    <customSheetView guid="{133BB3F8-8DD4-4AEF-8CD6-A5FB14681329}" scale="90" hiddenRows="1" state="hidden">
      <pane xSplit="6" ySplit="7" topLeftCell="G8" activePane="bottomRight" state="frozen"/>
      <selection pane="bottomRight" activeCell="C14" sqref="C14"/>
      <pageMargins left="0.7" right="0.7" top="0.75" bottom="0.75" header="0.3" footer="0.3"/>
      <pageSetup paperSize="9" orientation="portrait" r:id="rId1"/>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3"/>
    </customSheetView>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4"/>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6"/>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7"/>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8"/>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C282AA4E-1BB5-4296-9AC6-844C0F88E5FC}" scale="90" hiddenRows="1">
      <pane xSplit="6" ySplit="7" topLeftCell="G8" activePane="bottomRight" state="frozen"/>
      <selection pane="bottomRight" activeCell="E16" sqref="E16"/>
      <pageMargins left="0.7" right="0.7" top="0.75" bottom="0.75" header="0.3" footer="0.3"/>
      <pageSetup paperSize="9" orientation="portrait" r:id="rId11"/>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6"/>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3"/>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24"/>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25"/>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6"/>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27"/>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28"/>
    </customSheetView>
  </customSheetViews>
  <mergeCells count="34">
    <mergeCell ref="C2:S2"/>
    <mergeCell ref="C3:S3"/>
    <mergeCell ref="A4:A6"/>
    <mergeCell ref="B4:B6"/>
    <mergeCell ref="C4:C6"/>
    <mergeCell ref="D4:D5"/>
    <mergeCell ref="E4:E5"/>
    <mergeCell ref="F4:F5"/>
    <mergeCell ref="G4:G5"/>
    <mergeCell ref="H4:I5"/>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A21:A22"/>
    <mergeCell ref="B21:B22"/>
    <mergeCell ref="A12:A14"/>
    <mergeCell ref="B12:B14"/>
    <mergeCell ref="A15:A17"/>
    <mergeCell ref="B15:B17"/>
    <mergeCell ref="A18:A20"/>
    <mergeCell ref="B18:B20"/>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133BB3F8-8DD4-4AEF-8CD6-A5FB14681329}">
      <pageMargins left="0.7" right="0.7" top="0.75" bottom="0.75" header="0.3" footer="0.3"/>
    </customSheetView>
    <customSheetView guid="{5DF2C78B-5EE4-439D-8D72-8D3A913B65F9}">
      <pageMargins left="0.7" right="0.7" top="0.75" bottom="0.75" header="0.3" footer="0.3"/>
    </customSheetView>
    <customSheetView guid="{60A1F930-4BEC-460A-8E14-01E47F6DD055}">
      <pageMargins left="0.7" right="0.7" top="0.75" bottom="0.75" header="0.3" footer="0.3"/>
    </customSheetView>
    <customSheetView guid="{B686A221-D885-4536-BEAC-E7F4BBC02150}">
      <pageMargins left="0.7" right="0.7" top="0.75" bottom="0.75" header="0.3" footer="0.3"/>
    </customSheetView>
    <customSheetView guid="{EA46B61D-849C-4795-A4FF-F8F1740022EB}">
      <pageMargins left="0.7" right="0.7" top="0.75" bottom="0.75" header="0.3" footer="0.3"/>
    </customSheetView>
    <customSheetView guid="{A4AF2100-C59D-4F60-9EAB-56D9103463F7}">
      <pageMargins left="0.7" right="0.7" top="0.75" bottom="0.75" header="0.3" footer="0.3"/>
    </customSheetView>
    <customSheetView guid="{B6B60ED6-A6CC-4DA7-A8CA-5E6DB52D5A87}">
      <pageMargins left="0.7" right="0.7" top="0.75" bottom="0.75" header="0.3" footer="0.3"/>
    </customSheetView>
    <customSheetView guid="{F528EF6A-C113-49B5-B25F-D660F898CBFB}">
      <pageMargins left="0.7" right="0.7" top="0.75" bottom="0.75" header="0.3" footer="0.3"/>
    </customSheetView>
    <customSheetView guid="{AFADB96A-0516-43C1-9F1B-0604F3CAC04A}">
      <pageMargins left="0.7" right="0.7" top="0.75" bottom="0.75" header="0.3" footer="0.3"/>
    </customSheetView>
    <customSheetView guid="{4E221C17-6DAB-4FFA-B18C-35D4D85AF6E8}">
      <pageMargins left="0.7" right="0.7" top="0.75" bottom="0.75" header="0.3" footer="0.3"/>
    </customSheetView>
    <customSheetView guid="{C282AA4E-1BB5-4296-9AC6-844C0F88E5FC}">
      <pageMargins left="0.7" right="0.7" top="0.75" bottom="0.75" header="0.3" footer="0.3"/>
    </customSheetView>
    <customSheetView guid="{2940A182-D1A7-43C5-8D6E-965BED4371B0}">
      <pageMargins left="0.7" right="0.7" top="0.75" bottom="0.75" header="0.3" footer="0.3"/>
    </customSheetView>
    <customSheetView guid="{21E1D423-7B38-4272-8354-09B4DB62C9EB}">
      <pageMargins left="0.7" right="0.7" top="0.75" bottom="0.75" header="0.3" footer="0.3"/>
    </customSheetView>
    <customSheetView guid="{AB9978E4-895D-4050-8F07-2484E22632D1}">
      <pageMargins left="0.7" right="0.7" top="0.75" bottom="0.75" header="0.3" footer="0.3"/>
    </customSheetView>
    <customSheetView guid="{996EC2F0-F6EC-4E63-A83E-34865157BD8D}">
      <pageMargins left="0.7" right="0.7" top="0.75" bottom="0.75" header="0.3" footer="0.3"/>
    </customSheetView>
    <customSheetView guid="{2A5A11D4-90C6-4A3E-8165-7D7BD634B22F}">
      <pageMargins left="0.7" right="0.7" top="0.75" bottom="0.75" header="0.3" footer="0.3"/>
    </customSheetView>
    <customSheetView guid="{7C5A2A36-3D69-43D9-9018-A52C27EC78F9}">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G11" activePane="bottomRight" state="frozen"/>
      <selection pane="topRight" activeCell="G1" sqref="G1"/>
      <selection pane="bottomLeft" activeCell="A8" sqref="A8"/>
      <selection pane="bottomRight" activeCell="Q19" sqref="Q19"/>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33" customFormat="1" ht="31.5" x14ac:dyDescent="0.25">
      <c r="C3" s="567" t="s">
        <v>111</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33" customForma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94"/>
      <c r="E5" s="594"/>
      <c r="F5" s="594"/>
      <c r="G5" s="594"/>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33" customFormat="1" ht="63" x14ac:dyDescent="0.25">
      <c r="A6" s="570"/>
      <c r="B6" s="573"/>
      <c r="C6" s="573"/>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508"/>
      <c r="B8" s="559" t="s">
        <v>23</v>
      </c>
      <c r="C8" s="69" t="s">
        <v>20</v>
      </c>
      <c r="D8" s="70">
        <f>D9+D10+D11</f>
        <v>867667.28</v>
      </c>
      <c r="E8" s="70">
        <f>E9+E10+E11</f>
        <v>784511.35000000009</v>
      </c>
      <c r="F8" s="70">
        <f t="shared" ref="F8:G8" si="0">F9+F10+F11</f>
        <v>739664.42999999993</v>
      </c>
      <c r="G8" s="70">
        <f t="shared" si="0"/>
        <v>739664.42999999993</v>
      </c>
      <c r="H8" s="70">
        <f>IFERROR(G8/D8*100,0)</f>
        <v>85.247472971436693</v>
      </c>
      <c r="I8" s="70">
        <f>IFERROR(G8/E8*100,0)</f>
        <v>94.283458104207142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80405.929999999993</v>
      </c>
      <c r="AC8" s="71">
        <f t="shared" si="1"/>
        <v>23142.46</v>
      </c>
      <c r="AD8" s="71">
        <f t="shared" si="1"/>
        <v>0</v>
      </c>
      <c r="AE8" s="71">
        <f t="shared" si="1"/>
        <v>0</v>
      </c>
      <c r="AF8" s="71">
        <f t="shared" si="1"/>
        <v>2750</v>
      </c>
      <c r="AG8" s="71">
        <f t="shared" si="1"/>
        <v>0</v>
      </c>
      <c r="AH8" s="462"/>
    </row>
    <row r="9" spans="1:35" s="44" customFormat="1" ht="31.5" x14ac:dyDescent="0.25">
      <c r="A9" s="529"/>
      <c r="B9" s="560"/>
      <c r="C9" s="467" t="s">
        <v>52</v>
      </c>
      <c r="D9" s="74">
        <f>J9+L9+N9+P9+R9+T9+V9+X9+Z9+AB9+AD9+AF9</f>
        <v>103776.97</v>
      </c>
      <c r="E9" s="62">
        <f t="shared" ref="E9:E11" si="2">J9+L9+N9+P9+R9+T9+V9+X9+Z9</f>
        <v>103776.97</v>
      </c>
      <c r="F9" s="74">
        <f>F14</f>
        <v>103776.41</v>
      </c>
      <c r="G9" s="74">
        <f t="shared" ref="G9" si="3">G14</f>
        <v>103776.41</v>
      </c>
      <c r="H9" s="74">
        <f t="shared" ref="H9" si="4">IFERROR(G9/D9*100,0)</f>
        <v>99.99946038123872</v>
      </c>
      <c r="I9" s="74">
        <f t="shared" ref="I9" si="5">IFERROR(G9/E9*100,0)</f>
        <v>99.99946038123872</v>
      </c>
      <c r="J9" s="74">
        <f t="shared" ref="J9:AG9" si="6">J14</f>
        <v>0</v>
      </c>
      <c r="K9" s="74">
        <f t="shared" si="6"/>
        <v>0</v>
      </c>
      <c r="L9" s="74">
        <f t="shared" si="6"/>
        <v>0</v>
      </c>
      <c r="M9" s="74">
        <f t="shared" si="6"/>
        <v>0</v>
      </c>
      <c r="N9" s="74">
        <f t="shared" si="6"/>
        <v>0</v>
      </c>
      <c r="O9" s="74">
        <f t="shared" si="6"/>
        <v>0</v>
      </c>
      <c r="P9" s="74">
        <f t="shared" si="6"/>
        <v>0</v>
      </c>
      <c r="Q9" s="74">
        <f t="shared" si="6"/>
        <v>0</v>
      </c>
      <c r="R9" s="74">
        <f t="shared" si="6"/>
        <v>72933.52</v>
      </c>
      <c r="S9" s="74">
        <f t="shared" si="6"/>
        <v>31132.92</v>
      </c>
      <c r="T9" s="74">
        <f t="shared" si="6"/>
        <v>0</v>
      </c>
      <c r="U9" s="74">
        <f t="shared" si="6"/>
        <v>11047.94</v>
      </c>
      <c r="V9" s="74">
        <f t="shared" si="6"/>
        <v>3905.65</v>
      </c>
      <c r="W9" s="74">
        <f t="shared" si="6"/>
        <v>9022.42</v>
      </c>
      <c r="X9" s="74">
        <f t="shared" si="6"/>
        <v>26937.8</v>
      </c>
      <c r="Y9" s="74">
        <f t="shared" si="6"/>
        <v>2070.84</v>
      </c>
      <c r="Z9" s="74">
        <f t="shared" si="6"/>
        <v>0</v>
      </c>
      <c r="AA9" s="74">
        <f t="shared" si="6"/>
        <v>50502.29</v>
      </c>
      <c r="AB9" s="74">
        <f t="shared" si="6"/>
        <v>0</v>
      </c>
      <c r="AC9" s="74">
        <f t="shared" si="6"/>
        <v>0</v>
      </c>
      <c r="AD9" s="74">
        <f t="shared" si="6"/>
        <v>0</v>
      </c>
      <c r="AE9" s="74">
        <f t="shared" si="6"/>
        <v>0</v>
      </c>
      <c r="AF9" s="74">
        <f t="shared" si="6"/>
        <v>0</v>
      </c>
      <c r="AG9" s="74">
        <f t="shared" si="6"/>
        <v>0</v>
      </c>
      <c r="AH9" s="75"/>
    </row>
    <row r="10" spans="1:35" s="44" customFormat="1" ht="47.25" x14ac:dyDescent="0.25">
      <c r="A10" s="529"/>
      <c r="B10" s="560"/>
      <c r="C10" s="467" t="s">
        <v>22</v>
      </c>
      <c r="D10" s="74">
        <f t="shared" ref="D10" si="7">J10+L10+N10+P10+R10+T10+V10+X10+Z10+AB10+AD10+AF10</f>
        <v>94618.849999999991</v>
      </c>
      <c r="E10" s="62">
        <f t="shared" si="2"/>
        <v>94117.81</v>
      </c>
      <c r="F10" s="74">
        <f>F15+F26+F18</f>
        <v>93918.279999999984</v>
      </c>
      <c r="G10" s="74">
        <f t="shared" ref="G10" si="8">G15+G26+G18</f>
        <v>93918.279999999984</v>
      </c>
      <c r="H10" s="74">
        <f>IFERROR(G10/D10*100,0)</f>
        <v>99.25958728096991</v>
      </c>
      <c r="I10" s="74">
        <f>IFERROR(G10/E10*100,0)</f>
        <v>99.787999742025434</v>
      </c>
      <c r="J10" s="74">
        <f t="shared" ref="J10:AG10" si="9">J15+J26+J18</f>
        <v>0</v>
      </c>
      <c r="K10" s="74">
        <f t="shared" si="9"/>
        <v>0</v>
      </c>
      <c r="L10" s="74">
        <f t="shared" si="9"/>
        <v>0</v>
      </c>
      <c r="M10" s="74">
        <f t="shared" si="9"/>
        <v>0</v>
      </c>
      <c r="N10" s="74">
        <f t="shared" si="9"/>
        <v>0</v>
      </c>
      <c r="O10" s="74">
        <f t="shared" si="9"/>
        <v>0</v>
      </c>
      <c r="P10" s="74">
        <f t="shared" si="9"/>
        <v>0</v>
      </c>
      <c r="Q10" s="74">
        <f t="shared" si="9"/>
        <v>0</v>
      </c>
      <c r="R10" s="74">
        <f t="shared" si="9"/>
        <v>40216.19</v>
      </c>
      <c r="S10" s="74">
        <f t="shared" si="9"/>
        <v>39793.949999999997</v>
      </c>
      <c r="T10" s="74">
        <f t="shared" si="9"/>
        <v>0</v>
      </c>
      <c r="U10" s="74">
        <f t="shared" si="9"/>
        <v>111.6</v>
      </c>
      <c r="V10" s="74">
        <f t="shared" si="9"/>
        <v>8991.69</v>
      </c>
      <c r="W10" s="74">
        <f t="shared" si="9"/>
        <v>7474.73</v>
      </c>
      <c r="X10" s="74">
        <f t="shared" si="9"/>
        <v>38602.03</v>
      </c>
      <c r="Y10" s="74">
        <f t="shared" si="9"/>
        <v>39920.06</v>
      </c>
      <c r="Z10" s="74">
        <f t="shared" si="9"/>
        <v>6307.9</v>
      </c>
      <c r="AA10" s="74">
        <f t="shared" si="9"/>
        <v>510.14</v>
      </c>
      <c r="AB10" s="74">
        <f t="shared" si="9"/>
        <v>501.04</v>
      </c>
      <c r="AC10" s="74">
        <f t="shared" si="9"/>
        <v>6107.8</v>
      </c>
      <c r="AD10" s="74">
        <f t="shared" si="9"/>
        <v>0</v>
      </c>
      <c r="AE10" s="74">
        <f t="shared" si="9"/>
        <v>0</v>
      </c>
      <c r="AF10" s="74">
        <f t="shared" si="9"/>
        <v>0</v>
      </c>
      <c r="AG10" s="74">
        <f t="shared" si="9"/>
        <v>0</v>
      </c>
      <c r="AH10" s="75"/>
    </row>
    <row r="11" spans="1:35" s="44" customFormat="1" ht="31.5" x14ac:dyDescent="0.25">
      <c r="A11" s="509"/>
      <c r="B11" s="561"/>
      <c r="C11" s="467" t="s">
        <v>21</v>
      </c>
      <c r="D11" s="74">
        <f>J11+L11+N11+P11+R11+T11+V11+X11+Z11+AB11+AD11+AF11</f>
        <v>669271.46000000008</v>
      </c>
      <c r="E11" s="62">
        <f t="shared" si="2"/>
        <v>586616.57000000007</v>
      </c>
      <c r="F11" s="74">
        <f t="shared" ref="F11:G11" si="10">F16+F19+F21+F23+F27</f>
        <v>541969.74</v>
      </c>
      <c r="G11" s="74">
        <f t="shared" si="10"/>
        <v>541969.74</v>
      </c>
      <c r="H11" s="74">
        <f>IFERROR(G11/D11*100,0)</f>
        <v>80.979060424898435</v>
      </c>
      <c r="I11" s="74">
        <f>IFERROR(G11/E11*100,0)</f>
        <v>92.389094975615834</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79904.89</v>
      </c>
      <c r="AC11" s="74">
        <f t="shared" si="11"/>
        <v>17034.66</v>
      </c>
      <c r="AD11" s="74">
        <f t="shared" si="11"/>
        <v>0</v>
      </c>
      <c r="AE11" s="74">
        <f t="shared" si="11"/>
        <v>0</v>
      </c>
      <c r="AF11" s="74">
        <f t="shared" si="11"/>
        <v>2750</v>
      </c>
      <c r="AG11" s="74">
        <f t="shared" si="11"/>
        <v>0</v>
      </c>
      <c r="AH11" s="75"/>
    </row>
    <row r="12" spans="1:35" s="47" customFormat="1" x14ac:dyDescent="0.25">
      <c r="A12" s="45"/>
      <c r="B12" s="511" t="s">
        <v>49</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46"/>
    </row>
    <row r="13" spans="1:35" s="77" customFormat="1" x14ac:dyDescent="0.25">
      <c r="A13" s="519" t="s">
        <v>50</v>
      </c>
      <c r="B13" s="553" t="s">
        <v>53</v>
      </c>
      <c r="C13" s="57" t="s">
        <v>20</v>
      </c>
      <c r="D13" s="58">
        <f>D15+D16+D14</f>
        <v>777723.44</v>
      </c>
      <c r="E13" s="58">
        <f>E15+E16+E14</f>
        <v>777723.44</v>
      </c>
      <c r="F13" s="58">
        <f>F15+F16+F14</f>
        <v>659924.92000000004</v>
      </c>
      <c r="G13" s="58">
        <f t="shared" ref="G13:J13" si="12">G15+G16+G14</f>
        <v>659924.92000000004</v>
      </c>
      <c r="H13" s="58">
        <f t="shared" ref="H13:H16" si="13">IFERROR(G13/D13*100,0)</f>
        <v>84.853417816492723</v>
      </c>
      <c r="I13" s="58">
        <f t="shared" ref="I13:I16" si="14">IFERROR(G13/E13*100,0)</f>
        <v>84.853417816492723</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0</v>
      </c>
      <c r="AE13" s="58">
        <f t="shared" ref="AE13" si="35">AE15+AE16+AE14</f>
        <v>0</v>
      </c>
      <c r="AF13" s="58">
        <f t="shared" ref="AF13" si="36">AF15+AF16+AF14</f>
        <v>0</v>
      </c>
      <c r="AG13" s="58">
        <f t="shared" ref="AG13" si="37">AG15+AG16+AG14</f>
        <v>0</v>
      </c>
      <c r="AH13" s="461"/>
      <c r="AI13" s="76"/>
    </row>
    <row r="14" spans="1:35" s="77" customFormat="1" ht="409.5" customHeight="1" x14ac:dyDescent="0.25">
      <c r="A14" s="520"/>
      <c r="B14" s="554"/>
      <c r="C14" s="466" t="s">
        <v>52</v>
      </c>
      <c r="D14" s="62">
        <f>SUM(J14,L14,N14,P14,R14,T14,V14,X14,Z14,AB14,AD14,AF14)</f>
        <v>103776.97</v>
      </c>
      <c r="E14" s="62">
        <f>J14+L14+N14+P14+R14+T14+V14+X14+Z14+AB14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480" t="s">
        <v>422</v>
      </c>
      <c r="AI14" s="76"/>
    </row>
    <row r="15" spans="1:35" s="77" customFormat="1" ht="47.25" x14ac:dyDescent="0.25">
      <c r="A15" s="520"/>
      <c r="B15" s="554"/>
      <c r="C15" s="466" t="s">
        <v>22</v>
      </c>
      <c r="D15" s="62">
        <f>SUM(J15,L15,N15,P15,R15,T15,V15,X15,Z15,AB15,AD15,AF15)</f>
        <v>84418.84</v>
      </c>
      <c r="E15" s="62">
        <f t="shared" ref="E15:E16" si="38">J15+L15+N15+P15+R15+T15+V15+X15+Z15+AB15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481"/>
      <c r="AI15" s="76"/>
    </row>
    <row r="16" spans="1:35" s="50" customFormat="1" ht="31.5" x14ac:dyDescent="0.25">
      <c r="A16" s="521"/>
      <c r="B16" s="555"/>
      <c r="C16" s="466" t="s">
        <v>21</v>
      </c>
      <c r="D16" s="62">
        <f>SUM(J16,L16,N16,P16,R16,T16,V16,X16,Z16,AB16,AD16,AF16)</f>
        <v>589527.63</v>
      </c>
      <c r="E16" s="62">
        <f t="shared" si="38"/>
        <v>589527.63</v>
      </c>
      <c r="F16" s="62">
        <f>G16</f>
        <v>471729.10000000003</v>
      </c>
      <c r="G16" s="62">
        <f>SUM(K16,M16,O16,Q16,S16,U16,W16,Y16,AA16,AC16,AE16,AG16)</f>
        <v>471729.10000000003</v>
      </c>
      <c r="H16" s="62">
        <f t="shared" si="13"/>
        <v>80.01814944619305</v>
      </c>
      <c r="I16" s="62">
        <f t="shared" si="14"/>
        <v>80.01814944619305</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0</v>
      </c>
      <c r="AE16" s="67">
        <v>0</v>
      </c>
      <c r="AF16" s="67">
        <v>0</v>
      </c>
      <c r="AG16" s="67">
        <v>0</v>
      </c>
      <c r="AH16" s="482"/>
      <c r="AI16" s="49"/>
    </row>
    <row r="17" spans="1:35" s="50" customFormat="1" ht="195" customHeight="1" x14ac:dyDescent="0.25">
      <c r="A17" s="464" t="s">
        <v>333</v>
      </c>
      <c r="B17" s="465" t="s">
        <v>336</v>
      </c>
      <c r="C17" s="57" t="s">
        <v>20</v>
      </c>
      <c r="D17" s="58">
        <f>D19+D18</f>
        <v>52221.340000000004</v>
      </c>
      <c r="E17" s="58">
        <f>E19+E18</f>
        <v>52221.340000000004</v>
      </c>
      <c r="F17" s="58">
        <f>F18+F19</f>
        <v>49414.360000000008</v>
      </c>
      <c r="G17" s="58">
        <f>G18+G19</f>
        <v>49414.360000000008</v>
      </c>
      <c r="H17" s="58">
        <f t="shared" ref="H17:H23" si="39">IFERROR(G17/D17*100,0)</f>
        <v>94.624841109017893</v>
      </c>
      <c r="I17" s="58">
        <f t="shared" ref="I17:I23" si="40">IFERROR(G17/E17*100,0)</f>
        <v>94.624841109017893</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0</v>
      </c>
      <c r="AE17" s="58">
        <f t="shared" si="42"/>
        <v>0</v>
      </c>
      <c r="AF17" s="58">
        <f t="shared" si="42"/>
        <v>0</v>
      </c>
      <c r="AG17" s="58">
        <f t="shared" si="42"/>
        <v>0</v>
      </c>
      <c r="AH17" s="485" t="s">
        <v>423</v>
      </c>
      <c r="AI17" s="49"/>
    </row>
    <row r="18" spans="1:35" s="50" customFormat="1" ht="45" x14ac:dyDescent="0.25">
      <c r="A18" s="464"/>
      <c r="B18" s="465"/>
      <c r="C18" s="327" t="s">
        <v>22</v>
      </c>
      <c r="D18" s="62">
        <f>SUM(J18,L18,N18,P18,R18,T18,V18,X18,Z18,AB18,AD18,AF18)</f>
        <v>10200.01</v>
      </c>
      <c r="E18" s="62">
        <f>J18+L18+N18+P18+R18+T18+V18+X18+Z18+AB18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483"/>
      <c r="AI18" s="49"/>
    </row>
    <row r="19" spans="1:35" s="50" customFormat="1" ht="31.5" x14ac:dyDescent="0.25">
      <c r="A19" s="464"/>
      <c r="B19" s="465"/>
      <c r="C19" s="466" t="s">
        <v>21</v>
      </c>
      <c r="D19" s="62">
        <f>SUM(J19,L19,N19,P19,R19,T19,V19,X19,Z19,AB19,AD19,AF19)</f>
        <v>42021.33</v>
      </c>
      <c r="E19" s="62">
        <f>J19+L19+N19+P19+R19+T19+V19+X19+Z19+AB19</f>
        <v>42021.33</v>
      </c>
      <c r="F19" s="62">
        <f>G19</f>
        <v>39915.490000000005</v>
      </c>
      <c r="G19" s="62">
        <f>SUM(K19,M19,O19,Q19,S19,U19,W19,Y19,AA19,AC19,AE19,AG19)</f>
        <v>39915.490000000005</v>
      </c>
      <c r="H19" s="62">
        <f>IFERROR(G19/D19*100,0)</f>
        <v>94.988640292917921</v>
      </c>
      <c r="I19" s="62">
        <f t="shared" si="40"/>
        <v>94.988640292917921</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0</v>
      </c>
      <c r="AE19" s="62">
        <v>0</v>
      </c>
      <c r="AF19" s="62">
        <v>0</v>
      </c>
      <c r="AG19" s="62">
        <v>0</v>
      </c>
      <c r="AH19" s="484"/>
      <c r="AI19" s="49"/>
    </row>
    <row r="20" spans="1:35" s="50" customFormat="1" ht="409.5" x14ac:dyDescent="0.25">
      <c r="A20" s="547" t="s">
        <v>37</v>
      </c>
      <c r="B20" s="553" t="s">
        <v>335</v>
      </c>
      <c r="C20" s="57" t="s">
        <v>20</v>
      </c>
      <c r="D20" s="58">
        <f>D21</f>
        <v>22722.5</v>
      </c>
      <c r="E20" s="58">
        <f t="shared" ref="E20:G20" si="43">E21</f>
        <v>22722.5</v>
      </c>
      <c r="F20" s="58">
        <f t="shared" si="43"/>
        <v>18075.150000000001</v>
      </c>
      <c r="G20" s="58">
        <f t="shared" si="43"/>
        <v>18075.150000000001</v>
      </c>
      <c r="H20" s="58">
        <f t="shared" si="39"/>
        <v>79.547364946638794</v>
      </c>
      <c r="I20" s="58">
        <f t="shared" si="40"/>
        <v>79.547364946638794</v>
      </c>
      <c r="J20" s="59">
        <f>J21</f>
        <v>0</v>
      </c>
      <c r="K20" s="59">
        <f t="shared" ref="K20:AG20" si="44">K21</f>
        <v>0</v>
      </c>
      <c r="L20" s="59">
        <f t="shared" si="44"/>
        <v>0</v>
      </c>
      <c r="M20" s="59">
        <f t="shared" si="44"/>
        <v>0</v>
      </c>
      <c r="N20" s="59">
        <f t="shared" si="44"/>
        <v>0</v>
      </c>
      <c r="O20" s="59">
        <f t="shared" si="44"/>
        <v>0</v>
      </c>
      <c r="P20" s="59">
        <f t="shared" si="44"/>
        <v>990</v>
      </c>
      <c r="Q20" s="59">
        <f t="shared" si="44"/>
        <v>990</v>
      </c>
      <c r="R20" s="59">
        <f t="shared" si="44"/>
        <v>0</v>
      </c>
      <c r="S20" s="59">
        <f t="shared" si="44"/>
        <v>0</v>
      </c>
      <c r="T20" s="59">
        <f t="shared" si="44"/>
        <v>0</v>
      </c>
      <c r="U20" s="59">
        <f t="shared" si="44"/>
        <v>0</v>
      </c>
      <c r="V20" s="59">
        <f t="shared" si="44"/>
        <v>1574</v>
      </c>
      <c r="W20" s="59">
        <f t="shared" si="44"/>
        <v>976</v>
      </c>
      <c r="X20" s="59">
        <f t="shared" si="44"/>
        <v>5702.16</v>
      </c>
      <c r="Y20" s="59">
        <f t="shared" si="44"/>
        <v>5702.16</v>
      </c>
      <c r="Z20" s="59">
        <f t="shared" si="44"/>
        <v>321.75</v>
      </c>
      <c r="AA20" s="59">
        <f t="shared" si="44"/>
        <v>0</v>
      </c>
      <c r="AB20" s="59">
        <f t="shared" si="44"/>
        <v>14134.59</v>
      </c>
      <c r="AC20" s="59">
        <f t="shared" si="44"/>
        <v>10406.99</v>
      </c>
      <c r="AD20" s="59">
        <f t="shared" si="44"/>
        <v>0</v>
      </c>
      <c r="AE20" s="59">
        <f t="shared" si="44"/>
        <v>0</v>
      </c>
      <c r="AF20" s="59">
        <f t="shared" si="44"/>
        <v>0</v>
      </c>
      <c r="AG20" s="59">
        <f t="shared" si="44"/>
        <v>0</v>
      </c>
      <c r="AH20" s="143" t="s">
        <v>406</v>
      </c>
      <c r="AI20" s="49"/>
    </row>
    <row r="21" spans="1:35" s="50" customFormat="1" ht="31.5" x14ac:dyDescent="0.25">
      <c r="A21" s="593"/>
      <c r="B21" s="555"/>
      <c r="C21" s="466" t="s">
        <v>21</v>
      </c>
      <c r="D21" s="62">
        <f>SUM(J21,L21,N21,P21,R21,T21,V21,X21,Z21,AB21,AD21,AF21)</f>
        <v>22722.5</v>
      </c>
      <c r="E21" s="62">
        <f>J21+L21+N21+P21+R21+T21+V21+X21+Z21+AB21</f>
        <v>22722.5</v>
      </c>
      <c r="F21" s="62">
        <f>G21</f>
        <v>18075.150000000001</v>
      </c>
      <c r="G21" s="62">
        <f>SUM(K21,M21,O21,Q21,S21,U21,W21,Y21,AA21,AC21,AE21,AG21)</f>
        <v>18075.150000000001</v>
      </c>
      <c r="H21" s="62">
        <f t="shared" si="39"/>
        <v>79.547364946638794</v>
      </c>
      <c r="I21" s="62">
        <f t="shared" si="40"/>
        <v>79.547364946638794</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14134.59</v>
      </c>
      <c r="AC21" s="63">
        <v>10406.99</v>
      </c>
      <c r="AD21" s="63">
        <v>0</v>
      </c>
      <c r="AE21" s="63">
        <v>0</v>
      </c>
      <c r="AF21" s="63">
        <v>0</v>
      </c>
      <c r="AG21" s="63">
        <v>0</v>
      </c>
      <c r="AH21" s="461"/>
      <c r="AI21" s="49"/>
    </row>
    <row r="22" spans="1:35" s="50" customFormat="1" ht="205.5" customHeight="1" x14ac:dyDescent="0.25">
      <c r="A22" s="547" t="s">
        <v>51</v>
      </c>
      <c r="B22" s="553" t="s">
        <v>334</v>
      </c>
      <c r="C22" s="57" t="s">
        <v>20</v>
      </c>
      <c r="D22" s="58">
        <f>SUM(J22,L22,N22,P22,R22,T22,V22,X22,Z22,AB22,AD22,AF22)</f>
        <v>15000</v>
      </c>
      <c r="E22" s="58">
        <f>E23</f>
        <v>12250</v>
      </c>
      <c r="F22" s="58">
        <f t="shared" ref="F22" si="45">F23</f>
        <v>12250</v>
      </c>
      <c r="G22" s="58">
        <f>G23</f>
        <v>12250</v>
      </c>
      <c r="H22" s="58">
        <f t="shared" si="39"/>
        <v>81.666666666666671</v>
      </c>
      <c r="I22" s="58">
        <f t="shared" si="40"/>
        <v>100</v>
      </c>
      <c r="J22" s="59">
        <f>J23</f>
        <v>0</v>
      </c>
      <c r="K22" s="59">
        <f t="shared" ref="K22:AG22" si="46">K23</f>
        <v>0</v>
      </c>
      <c r="L22" s="59">
        <f t="shared" si="46"/>
        <v>0</v>
      </c>
      <c r="M22" s="59">
        <f t="shared" si="46"/>
        <v>0</v>
      </c>
      <c r="N22" s="59">
        <f t="shared" si="46"/>
        <v>0</v>
      </c>
      <c r="O22" s="59">
        <f t="shared" si="46"/>
        <v>0</v>
      </c>
      <c r="P22" s="59">
        <f t="shared" si="46"/>
        <v>6550</v>
      </c>
      <c r="Q22" s="59">
        <v>3800</v>
      </c>
      <c r="R22" s="59">
        <f t="shared" si="46"/>
        <v>0</v>
      </c>
      <c r="S22" s="59">
        <f t="shared" si="46"/>
        <v>0</v>
      </c>
      <c r="T22" s="59">
        <f t="shared" si="46"/>
        <v>2700</v>
      </c>
      <c r="U22" s="59">
        <v>2700</v>
      </c>
      <c r="V22" s="59">
        <f t="shared" si="46"/>
        <v>3000</v>
      </c>
      <c r="W22" s="59">
        <f t="shared" si="46"/>
        <v>3000</v>
      </c>
      <c r="X22" s="59">
        <f t="shared" si="46"/>
        <v>0</v>
      </c>
      <c r="Y22" s="59">
        <f t="shared" si="46"/>
        <v>0</v>
      </c>
      <c r="Z22" s="59">
        <f t="shared" si="46"/>
        <v>0</v>
      </c>
      <c r="AA22" s="59">
        <f t="shared" si="46"/>
        <v>2750</v>
      </c>
      <c r="AB22" s="59">
        <f t="shared" si="46"/>
        <v>0</v>
      </c>
      <c r="AC22" s="59">
        <f t="shared" si="46"/>
        <v>0</v>
      </c>
      <c r="AD22" s="59">
        <f t="shared" si="46"/>
        <v>0</v>
      </c>
      <c r="AE22" s="59">
        <f t="shared" si="46"/>
        <v>0</v>
      </c>
      <c r="AF22" s="59">
        <f t="shared" si="46"/>
        <v>2750</v>
      </c>
      <c r="AG22" s="59">
        <f t="shared" si="46"/>
        <v>0</v>
      </c>
      <c r="AH22" s="144" t="s">
        <v>407</v>
      </c>
      <c r="AI22" s="49"/>
    </row>
    <row r="23" spans="1:35" s="50" customFormat="1" ht="31.5" x14ac:dyDescent="0.25">
      <c r="A23" s="593"/>
      <c r="B23" s="555"/>
      <c r="C23" s="466" t="s">
        <v>21</v>
      </c>
      <c r="D23" s="62">
        <f>SUM(J23,L23,N23,P23,R23,T23,V23,X23,Z23,AB23,AD23,AF23)</f>
        <v>15000</v>
      </c>
      <c r="E23" s="62">
        <f>J23+L23+N23+P23+R23+T23+V23+X23+Z23+AB23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461"/>
      <c r="AI23" s="49"/>
    </row>
    <row r="24" spans="1:35" s="80" customFormat="1" x14ac:dyDescent="0.25">
      <c r="A24" s="78"/>
      <c r="B24" s="584" t="s">
        <v>54</v>
      </c>
      <c r="C24" s="585"/>
      <c r="D24" s="585"/>
      <c r="E24" s="585"/>
      <c r="F24" s="585"/>
      <c r="G24" s="585"/>
      <c r="H24" s="585"/>
      <c r="I24" s="585"/>
      <c r="J24" s="585"/>
      <c r="K24" s="585"/>
      <c r="L24" s="585"/>
      <c r="M24" s="585"/>
      <c r="N24" s="585"/>
      <c r="O24" s="585"/>
      <c r="P24" s="585"/>
      <c r="Q24" s="585"/>
      <c r="R24" s="585"/>
      <c r="S24" s="585"/>
      <c r="T24" s="585"/>
      <c r="U24" s="585"/>
      <c r="V24" s="585"/>
      <c r="W24" s="585"/>
      <c r="X24" s="585"/>
      <c r="Y24" s="585"/>
      <c r="Z24" s="585"/>
      <c r="AA24" s="585"/>
      <c r="AB24" s="585"/>
      <c r="AC24" s="585"/>
      <c r="AD24" s="585"/>
      <c r="AE24" s="585"/>
      <c r="AF24" s="585"/>
      <c r="AG24" s="586"/>
      <c r="AH24" s="52"/>
      <c r="AI24" s="79"/>
    </row>
    <row r="25" spans="1:35" s="42" customFormat="1" x14ac:dyDescent="0.25">
      <c r="A25" s="587" t="s">
        <v>55</v>
      </c>
      <c r="B25" s="590" t="s">
        <v>56</v>
      </c>
      <c r="C25" s="81" t="s">
        <v>20</v>
      </c>
      <c r="D25" s="82">
        <f>D26+D27</f>
        <v>0</v>
      </c>
      <c r="E25" s="82">
        <f t="shared" ref="E25:G25" si="47">E26+E27</f>
        <v>0</v>
      </c>
      <c r="F25" s="82">
        <f t="shared" si="47"/>
        <v>0</v>
      </c>
      <c r="G25" s="82">
        <f t="shared" si="47"/>
        <v>0</v>
      </c>
      <c r="H25" s="82">
        <f>IFERROR(G25/D25*100,0)</f>
        <v>0</v>
      </c>
      <c r="I25" s="82">
        <f>IFERROR(G25/E25*100,0)</f>
        <v>0</v>
      </c>
      <c r="J25" s="83">
        <f t="shared" ref="J25:AG25" si="48">SUM(J27:J27)</f>
        <v>0</v>
      </c>
      <c r="K25" s="83">
        <f t="shared" si="48"/>
        <v>0</v>
      </c>
      <c r="L25" s="83">
        <f t="shared" si="48"/>
        <v>0</v>
      </c>
      <c r="M25" s="83">
        <f t="shared" si="48"/>
        <v>0</v>
      </c>
      <c r="N25" s="83">
        <f t="shared" si="48"/>
        <v>0</v>
      </c>
      <c r="O25" s="83">
        <f t="shared" si="48"/>
        <v>0</v>
      </c>
      <c r="P25" s="83">
        <f t="shared" si="48"/>
        <v>0</v>
      </c>
      <c r="Q25" s="83">
        <f t="shared" si="48"/>
        <v>0</v>
      </c>
      <c r="R25" s="83">
        <f t="shared" si="48"/>
        <v>0</v>
      </c>
      <c r="S25" s="83">
        <f t="shared" si="48"/>
        <v>0</v>
      </c>
      <c r="T25" s="83">
        <f t="shared" si="48"/>
        <v>0</v>
      </c>
      <c r="U25" s="83">
        <f t="shared" si="48"/>
        <v>0</v>
      </c>
      <c r="V25" s="83">
        <f t="shared" si="48"/>
        <v>0</v>
      </c>
      <c r="W25" s="83">
        <f t="shared" si="48"/>
        <v>0</v>
      </c>
      <c r="X25" s="83">
        <f t="shared" si="48"/>
        <v>0</v>
      </c>
      <c r="Y25" s="83">
        <f t="shared" si="48"/>
        <v>0</v>
      </c>
      <c r="Z25" s="83">
        <f t="shared" si="48"/>
        <v>0</v>
      </c>
      <c r="AA25" s="83">
        <f t="shared" si="48"/>
        <v>0</v>
      </c>
      <c r="AB25" s="83">
        <f t="shared" si="48"/>
        <v>0</v>
      </c>
      <c r="AC25" s="83">
        <f t="shared" si="48"/>
        <v>0</v>
      </c>
      <c r="AD25" s="83">
        <f t="shared" si="48"/>
        <v>0</v>
      </c>
      <c r="AE25" s="83">
        <f t="shared" si="48"/>
        <v>0</v>
      </c>
      <c r="AF25" s="83">
        <f t="shared" si="48"/>
        <v>0</v>
      </c>
      <c r="AG25" s="83">
        <f t="shared" si="48"/>
        <v>0</v>
      </c>
      <c r="AH25" s="84"/>
      <c r="AI25" s="51"/>
    </row>
    <row r="26" spans="1:35" s="44" customFormat="1" ht="47.25" x14ac:dyDescent="0.25">
      <c r="A26" s="588"/>
      <c r="B26" s="591"/>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589"/>
      <c r="B27" s="592"/>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133BB3F8-8DD4-4AEF-8CD6-A5FB14681329}" scale="80" state="hidden">
      <pane xSplit="6" ySplit="7" topLeftCell="G11" activePane="bottomRight" state="frozen"/>
      <selection pane="bottomRight" activeCell="Q19" sqref="Q19"/>
      <pageMargins left="0.7" right="0.7" top="0.75" bottom="0.75" header="0.3" footer="0.3"/>
      <pageSetup paperSize="9" orientation="portrait" r:id="rId1"/>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3"/>
    </customSheetView>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4"/>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5"/>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6"/>
    </customSheetView>
    <customSheetView guid="{B6B60ED6-A6CC-4DA7-A8CA-5E6DB52D5A87}" scale="80">
      <pane xSplit="6" ySplit="7" topLeftCell="V16" activePane="bottomRight" state="frozen"/>
      <selection pane="bottomRight" activeCell="AB18" sqref="AB18:AC19"/>
      <pageMargins left="0.7" right="0.7" top="0.75" bottom="0.75" header="0.3" footer="0.3"/>
      <pageSetup paperSize="9" orientation="portrait" r:id="rId7"/>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8"/>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9"/>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10"/>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11"/>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13"/>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6"/>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7"/>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20"/>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1"/>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22"/>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24"/>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25"/>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6"/>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27"/>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24:AG24"/>
    <mergeCell ref="A25:A27"/>
    <mergeCell ref="B25:B27"/>
    <mergeCell ref="A20:A21"/>
    <mergeCell ref="B20:B21"/>
    <mergeCell ref="A22:A23"/>
    <mergeCell ref="B22:B23"/>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75"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87"/>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146"/>
      <c r="V2" s="35"/>
      <c r="W2" s="35"/>
      <c r="X2" s="35"/>
      <c r="Y2" s="35"/>
      <c r="Z2" s="35"/>
      <c r="AA2" s="35"/>
      <c r="AB2" s="35"/>
      <c r="AC2" s="35"/>
      <c r="AD2" s="35"/>
      <c r="AE2" s="35"/>
      <c r="AF2" s="35"/>
      <c r="AG2" s="35"/>
      <c r="AH2" s="35"/>
    </row>
    <row r="3" spans="1:35" s="10" customFormat="1" ht="27" customHeight="1" x14ac:dyDescent="0.25">
      <c r="A3" s="55"/>
      <c r="B3" s="55"/>
      <c r="C3" s="567" t="s">
        <v>112</v>
      </c>
      <c r="D3" s="567"/>
      <c r="E3" s="567"/>
      <c r="F3" s="567"/>
      <c r="G3" s="567"/>
      <c r="H3" s="567"/>
      <c r="I3" s="567"/>
      <c r="J3" s="567"/>
      <c r="K3" s="567"/>
      <c r="L3" s="567"/>
      <c r="M3" s="567"/>
      <c r="N3" s="567"/>
      <c r="O3" s="567"/>
      <c r="P3" s="567"/>
      <c r="Q3" s="567"/>
      <c r="R3" s="567"/>
      <c r="S3" s="567"/>
      <c r="T3" s="36"/>
      <c r="U3" s="147"/>
      <c r="V3" s="36"/>
      <c r="W3" s="36"/>
      <c r="X3" s="36"/>
      <c r="Y3" s="36"/>
      <c r="Z3" s="36"/>
      <c r="AA3" s="36"/>
      <c r="AB3" s="36"/>
      <c r="AC3" s="36"/>
      <c r="AD3" s="37"/>
      <c r="AE3" s="37"/>
      <c r="AF3" s="37"/>
      <c r="AG3" s="37" t="s">
        <v>0</v>
      </c>
      <c r="AH3" s="37"/>
    </row>
    <row r="4" spans="1:35"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6"/>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56"/>
      <c r="B8" s="559" t="s">
        <v>23</v>
      </c>
      <c r="C8" s="123" t="s">
        <v>20</v>
      </c>
      <c r="D8" s="70">
        <f>D9+D10+D12+D11</f>
        <v>831480.45299999998</v>
      </c>
      <c r="E8" s="70">
        <f t="shared" ref="E8:G8" si="0">E9+E10+E12+E11</f>
        <v>52100.4</v>
      </c>
      <c r="F8" s="70" t="e">
        <f t="shared" si="0"/>
        <v>#REF!</v>
      </c>
      <c r="G8" s="70" t="e">
        <f t="shared" si="0"/>
        <v>#REF!</v>
      </c>
      <c r="H8" s="70">
        <f>IFERROR(G8/D8*100,0)</f>
        <v>0</v>
      </c>
      <c r="I8" s="70">
        <f>IFERROR(G8/E8*100,0)</f>
        <v>0</v>
      </c>
      <c r="J8" s="71">
        <f>J9+J10+J12+J11</f>
        <v>52100.4</v>
      </c>
      <c r="K8" s="71">
        <f t="shared" ref="K8:AG8" si="1">K9+K10+K12+K11</f>
        <v>24606.252999999993</v>
      </c>
      <c r="L8" s="71">
        <f t="shared" si="1"/>
        <v>50808.46100000001</v>
      </c>
      <c r="M8" s="71">
        <f t="shared" si="1"/>
        <v>48533.891999999993</v>
      </c>
      <c r="N8" s="71">
        <f t="shared" si="1"/>
        <v>171449.28700000001</v>
      </c>
      <c r="O8" s="71">
        <f t="shared" si="1"/>
        <v>115148.537</v>
      </c>
      <c r="P8" s="71">
        <f t="shared" si="1"/>
        <v>80421.664000000019</v>
      </c>
      <c r="Q8" s="71">
        <f t="shared" si="1"/>
        <v>60953.046000000002</v>
      </c>
      <c r="R8" s="71">
        <f t="shared" si="1"/>
        <v>68392.08</v>
      </c>
      <c r="S8" s="71">
        <f t="shared" si="1"/>
        <v>53807.662999999993</v>
      </c>
      <c r="T8" s="71">
        <f t="shared" si="1"/>
        <v>71940.735000000001</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11425.767</v>
      </c>
      <c r="AB8" s="71">
        <f t="shared" si="1"/>
        <v>50442.072</v>
      </c>
      <c r="AC8" s="71" t="e">
        <f t="shared" si="1"/>
        <v>#REF!</v>
      </c>
      <c r="AD8" s="71">
        <f t="shared" si="1"/>
        <v>37365.021000000001</v>
      </c>
      <c r="AE8" s="71">
        <f t="shared" si="1"/>
        <v>0</v>
      </c>
      <c r="AF8" s="71">
        <f t="shared" si="1"/>
        <v>51359.87000000001</v>
      </c>
      <c r="AG8" s="71">
        <f t="shared" si="1"/>
        <v>0</v>
      </c>
      <c r="AH8" s="72"/>
    </row>
    <row r="9" spans="1:35" s="26" customFormat="1" ht="26.25" customHeight="1" x14ac:dyDescent="0.25">
      <c r="A9" s="557"/>
      <c r="B9" s="560"/>
      <c r="C9" s="124" t="s">
        <v>52</v>
      </c>
      <c r="D9" s="74">
        <f>J9+L9+N9+P9+R9+T9+V9+X9+Z9+AB9+AD9+AF9</f>
        <v>6734.0169999999998</v>
      </c>
      <c r="E9" s="74">
        <f>J9</f>
        <v>0</v>
      </c>
      <c r="F9" s="74">
        <f>G9</f>
        <v>4537.134</v>
      </c>
      <c r="G9" s="74">
        <f>K9+M9+O9+Q9+S9+U9+W9+Y9+AA9+AC9+AE9+AG9</f>
        <v>4537.134</v>
      </c>
      <c r="H9" s="74">
        <f t="shared" ref="H9" si="2">IFERROR(G9/D9*100,0)</f>
        <v>67.376337184773959</v>
      </c>
      <c r="I9" s="74">
        <f t="shared" ref="I9" si="3">IFERROR(G9/E9*100,0)</f>
        <v>0</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57"/>
      <c r="B10" s="560"/>
      <c r="C10" s="124" t="s">
        <v>22</v>
      </c>
      <c r="D10" s="74">
        <f t="shared" ref="D10:D12" si="5">J10+L10+N10+P10+R10+T10+V10+X10+Z10+AB10+AD10+AF10</f>
        <v>10948.086000000001</v>
      </c>
      <c r="E10" s="74">
        <f t="shared" ref="E10:E12" si="6">J10</f>
        <v>0</v>
      </c>
      <c r="F10" s="74">
        <f t="shared" ref="F10:F12" si="7">G10</f>
        <v>7345.4849999999997</v>
      </c>
      <c r="G10" s="74">
        <f t="shared" ref="G10:G12" si="8">K10+M10+O10+Q10+S10+U10+W10+Y10+AA10+AC10+AE10+AG10</f>
        <v>7345.4849999999997</v>
      </c>
      <c r="H10" s="74">
        <f>IFERROR(G10/D10*100,0)</f>
        <v>67.093782420050402</v>
      </c>
      <c r="I10" s="74">
        <f>IFERROR(G10/E10*100,0)</f>
        <v>0</v>
      </c>
      <c r="J10" s="74">
        <f t="shared" ref="J10:AG10" si="9">J16+J32+J84</f>
        <v>0</v>
      </c>
      <c r="K10" s="74">
        <f t="shared" si="9"/>
        <v>0</v>
      </c>
      <c r="L10" s="74">
        <f t="shared" si="9"/>
        <v>0</v>
      </c>
      <c r="M10" s="74">
        <f t="shared" si="9"/>
        <v>0</v>
      </c>
      <c r="N10" s="74">
        <f t="shared" si="9"/>
        <v>899.01300000000003</v>
      </c>
      <c r="O10" s="74">
        <f t="shared" si="9"/>
        <v>899.01</v>
      </c>
      <c r="P10" s="74">
        <f t="shared" si="9"/>
        <v>939.58900000000006</v>
      </c>
      <c r="Q10" s="74">
        <f t="shared" si="9"/>
        <v>939.59</v>
      </c>
      <c r="R10" s="74">
        <f t="shared" si="9"/>
        <v>2145.2820000000002</v>
      </c>
      <c r="S10" s="74">
        <f t="shared" si="9"/>
        <v>2145.2799999999997</v>
      </c>
      <c r="T10" s="74">
        <f t="shared" si="9"/>
        <v>1682.133</v>
      </c>
      <c r="U10" s="74">
        <f t="shared" si="9"/>
        <v>1682.125</v>
      </c>
      <c r="V10" s="74">
        <f t="shared" si="9"/>
        <v>1657.3789999999999</v>
      </c>
      <c r="W10" s="74">
        <f t="shared" si="9"/>
        <v>1583.3799999999999</v>
      </c>
      <c r="X10" s="74">
        <f t="shared" si="9"/>
        <v>22.1</v>
      </c>
      <c r="Y10" s="74">
        <f t="shared" si="9"/>
        <v>96.1</v>
      </c>
      <c r="Z10" s="74">
        <f t="shared" si="9"/>
        <v>3525.4500000000003</v>
      </c>
      <c r="AA10" s="74">
        <f t="shared" si="9"/>
        <v>0</v>
      </c>
      <c r="AB10" s="74">
        <f t="shared" si="9"/>
        <v>22.1</v>
      </c>
      <c r="AC10" s="74">
        <f t="shared" si="9"/>
        <v>0</v>
      </c>
      <c r="AD10" s="74">
        <f t="shared" si="9"/>
        <v>22.1</v>
      </c>
      <c r="AE10" s="74">
        <f t="shared" si="9"/>
        <v>0</v>
      </c>
      <c r="AF10" s="74">
        <f t="shared" si="9"/>
        <v>32.94</v>
      </c>
      <c r="AG10" s="74">
        <f t="shared" si="9"/>
        <v>0</v>
      </c>
      <c r="AH10" s="75"/>
    </row>
    <row r="11" spans="1:35" s="26" customFormat="1" ht="40.5" customHeight="1" x14ac:dyDescent="0.25">
      <c r="A11" s="557"/>
      <c r="B11" s="560"/>
      <c r="C11" s="124" t="s">
        <v>21</v>
      </c>
      <c r="D11" s="74">
        <f>J11+L11+N11+P11+R11+T11+V11+X11+Z11+AB11+AD11+AF11</f>
        <v>782864.196</v>
      </c>
      <c r="E11" s="74">
        <f t="shared" si="6"/>
        <v>48925.037000000004</v>
      </c>
      <c r="F11" s="74" t="e">
        <f t="shared" si="7"/>
        <v>#REF!</v>
      </c>
      <c r="G11" s="74" t="e">
        <f t="shared" si="8"/>
        <v>#REF!</v>
      </c>
      <c r="H11" s="74">
        <f>IFERROR(G11/D11*100,0)</f>
        <v>0</v>
      </c>
      <c r="I11" s="74">
        <f>IFERROR(G11/E11*100,0)</f>
        <v>0</v>
      </c>
      <c r="J11" s="74">
        <f t="shared" ref="J11:AG11" si="10">J17+J33+J35+J78+J81+J85+J96</f>
        <v>48925.037000000004</v>
      </c>
      <c r="K11" s="74">
        <f t="shared" si="10"/>
        <v>23883.041999999994</v>
      </c>
      <c r="L11" s="74">
        <f t="shared" si="10"/>
        <v>48278.301000000007</v>
      </c>
      <c r="M11" s="74">
        <f t="shared" si="10"/>
        <v>46972.899999999994</v>
      </c>
      <c r="N11" s="74">
        <f t="shared" si="10"/>
        <v>166983.13200000001</v>
      </c>
      <c r="O11" s="74">
        <f t="shared" si="10"/>
        <v>111615.34699999999</v>
      </c>
      <c r="P11" s="74">
        <f t="shared" si="10"/>
        <v>74800.20600000002</v>
      </c>
      <c r="Q11" s="74">
        <f t="shared" si="10"/>
        <v>56910.743999999999</v>
      </c>
      <c r="R11" s="74">
        <f t="shared" si="10"/>
        <v>61911.675000000003</v>
      </c>
      <c r="S11" s="74">
        <f t="shared" si="10"/>
        <v>47327.901999999995</v>
      </c>
      <c r="T11" s="74">
        <f t="shared" si="10"/>
        <v>67578.251000000004</v>
      </c>
      <c r="U11" s="74">
        <f t="shared" si="10"/>
        <v>66967.485000000001</v>
      </c>
      <c r="V11" s="74">
        <f t="shared" si="10"/>
        <v>77065.08199999998</v>
      </c>
      <c r="W11" s="74">
        <f t="shared" si="10"/>
        <v>71482.471999999994</v>
      </c>
      <c r="X11" s="74">
        <f t="shared" si="10"/>
        <v>63315.057999999997</v>
      </c>
      <c r="Y11" s="74">
        <f t="shared" si="10"/>
        <v>44655.602000000014</v>
      </c>
      <c r="Z11" s="74">
        <f t="shared" si="10"/>
        <v>41869.825000000004</v>
      </c>
      <c r="AA11" s="74">
        <f t="shared" si="10"/>
        <v>10190.243</v>
      </c>
      <c r="AB11" s="74">
        <f t="shared" si="10"/>
        <v>47803.714</v>
      </c>
      <c r="AC11" s="74" t="e">
        <f t="shared" si="10"/>
        <v>#REF!</v>
      </c>
      <c r="AD11" s="74">
        <f t="shared" si="10"/>
        <v>35133.741000000002</v>
      </c>
      <c r="AE11" s="74">
        <f t="shared" si="10"/>
        <v>0</v>
      </c>
      <c r="AF11" s="74">
        <f t="shared" si="10"/>
        <v>49200.174000000006</v>
      </c>
      <c r="AG11" s="74">
        <f t="shared" si="10"/>
        <v>0</v>
      </c>
      <c r="AH11" s="75"/>
    </row>
    <row r="12" spans="1:35" s="26" customFormat="1" ht="34.5" customHeight="1" x14ac:dyDescent="0.25">
      <c r="A12" s="558"/>
      <c r="B12" s="561"/>
      <c r="C12" s="124" t="s">
        <v>113</v>
      </c>
      <c r="D12" s="74">
        <f t="shared" si="5"/>
        <v>30934.154000000002</v>
      </c>
      <c r="E12" s="74">
        <f t="shared" si="6"/>
        <v>3175.3629999999998</v>
      </c>
      <c r="F12" s="74">
        <f t="shared" si="7"/>
        <v>19024.616999999998</v>
      </c>
      <c r="G12" s="74">
        <f t="shared" si="8"/>
        <v>19024.616999999998</v>
      </c>
      <c r="H12" s="74">
        <f>IFERROR(G12/D12*100,0)</f>
        <v>61.500362996835136</v>
      </c>
      <c r="I12" s="74">
        <f>IFERROR(G12/E12*100,0)</f>
        <v>599.13203624278549</v>
      </c>
      <c r="J12" s="74">
        <f t="shared" ref="J12:AG12" si="11">J36+J79</f>
        <v>3175.3629999999998</v>
      </c>
      <c r="K12" s="74">
        <f t="shared" si="11"/>
        <v>723.21100000000001</v>
      </c>
      <c r="L12" s="74">
        <f t="shared" si="11"/>
        <v>2530.16</v>
      </c>
      <c r="M12" s="74">
        <f t="shared" si="11"/>
        <v>1560.992</v>
      </c>
      <c r="N12" s="74">
        <f t="shared" si="11"/>
        <v>2998.82</v>
      </c>
      <c r="O12" s="74">
        <f t="shared" si="11"/>
        <v>2065.86</v>
      </c>
      <c r="P12" s="74">
        <f t="shared" si="11"/>
        <v>4089.4589999999998</v>
      </c>
      <c r="Q12" s="74">
        <f t="shared" si="11"/>
        <v>2510.3020000000001</v>
      </c>
      <c r="R12" s="74">
        <f t="shared" si="11"/>
        <v>3036.2129999999997</v>
      </c>
      <c r="S12" s="74">
        <f t="shared" si="11"/>
        <v>3035.5709999999999</v>
      </c>
      <c r="T12" s="74">
        <f t="shared" si="11"/>
        <v>1601.0609999999999</v>
      </c>
      <c r="U12" s="74">
        <f t="shared" si="11"/>
        <v>2934.6819999999998</v>
      </c>
      <c r="V12" s="74">
        <f t="shared" si="11"/>
        <v>2883.5560000000005</v>
      </c>
      <c r="W12" s="74">
        <f t="shared" si="11"/>
        <v>2689.4789999999998</v>
      </c>
      <c r="X12" s="74">
        <f t="shared" si="11"/>
        <v>1614.4139999999998</v>
      </c>
      <c r="Y12" s="74">
        <f t="shared" si="11"/>
        <v>807.96299999999997</v>
      </c>
      <c r="Z12" s="74">
        <f t="shared" si="11"/>
        <v>2052.9139999999998</v>
      </c>
      <c r="AA12" s="74">
        <f t="shared" si="11"/>
        <v>1235.5239999999999</v>
      </c>
      <c r="AB12" s="74">
        <f t="shared" si="11"/>
        <v>2616.2579999999998</v>
      </c>
      <c r="AC12" s="74">
        <f t="shared" si="11"/>
        <v>1461.0329999999999</v>
      </c>
      <c r="AD12" s="74">
        <f t="shared" si="11"/>
        <v>2209.1800000000003</v>
      </c>
      <c r="AE12" s="74">
        <f t="shared" si="11"/>
        <v>0</v>
      </c>
      <c r="AF12" s="74">
        <f t="shared" si="11"/>
        <v>2126.7559999999999</v>
      </c>
      <c r="AG12" s="74">
        <f t="shared" si="11"/>
        <v>0</v>
      </c>
      <c r="AH12" s="75"/>
    </row>
    <row r="13" spans="1:35" s="22" customFormat="1" ht="18.75" customHeight="1" x14ac:dyDescent="0.25">
      <c r="A13" s="66"/>
      <c r="B13" s="511" t="s">
        <v>114</v>
      </c>
      <c r="C13" s="512"/>
      <c r="D13" s="512"/>
      <c r="E13" s="512"/>
      <c r="F13" s="512"/>
      <c r="G13" s="512"/>
      <c r="H13" s="512"/>
      <c r="I13" s="512"/>
      <c r="J13" s="512"/>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3"/>
      <c r="AH13" s="64"/>
    </row>
    <row r="14" spans="1:35" s="21" customFormat="1" ht="23.25" customHeight="1" x14ac:dyDescent="0.25">
      <c r="A14" s="519" t="s">
        <v>50</v>
      </c>
      <c r="B14" s="525" t="s">
        <v>115</v>
      </c>
      <c r="C14" s="125" t="s">
        <v>20</v>
      </c>
      <c r="D14" s="70">
        <f>D16+D17+D15</f>
        <v>735.90000000000009</v>
      </c>
      <c r="E14" s="58">
        <f t="shared" ref="E14:AG14" si="12">E16+E17+E15</f>
        <v>0</v>
      </c>
      <c r="F14" s="58">
        <f t="shared" si="12"/>
        <v>540.76900000000001</v>
      </c>
      <c r="G14" s="58">
        <f t="shared" si="12"/>
        <v>540.76900000000001</v>
      </c>
      <c r="H14" s="58">
        <f t="shared" ref="H14:H34" si="13">IFERROR(G14/D14*100,0)</f>
        <v>73.48403315667889</v>
      </c>
      <c r="I14" s="58">
        <f t="shared" ref="I14:I34" si="14">IFERROR(G14/E14*100,0)</f>
        <v>0</v>
      </c>
      <c r="J14" s="58">
        <f t="shared" si="12"/>
        <v>0</v>
      </c>
      <c r="K14" s="58">
        <f t="shared" si="12"/>
        <v>0</v>
      </c>
      <c r="L14" s="58">
        <f t="shared" si="12"/>
        <v>11.65</v>
      </c>
      <c r="M14" s="58">
        <f t="shared" si="12"/>
        <v>11.65</v>
      </c>
      <c r="N14" s="58">
        <f t="shared" si="12"/>
        <v>21.05</v>
      </c>
      <c r="O14" s="58">
        <f t="shared" si="12"/>
        <v>21.05</v>
      </c>
      <c r="P14" s="58">
        <f t="shared" si="12"/>
        <v>24.35</v>
      </c>
      <c r="Q14" s="58">
        <f t="shared" si="12"/>
        <v>21.93</v>
      </c>
      <c r="R14" s="58">
        <f t="shared" si="12"/>
        <v>138.81</v>
      </c>
      <c r="S14" s="58">
        <f t="shared" si="12"/>
        <v>138.9</v>
      </c>
      <c r="T14" s="58">
        <f t="shared" si="12"/>
        <v>298.25</v>
      </c>
      <c r="U14" s="70">
        <f t="shared" si="12"/>
        <v>298.34899999999999</v>
      </c>
      <c r="V14" s="58">
        <f t="shared" si="12"/>
        <v>24.35</v>
      </c>
      <c r="W14" s="58">
        <f t="shared" si="12"/>
        <v>24.44</v>
      </c>
      <c r="X14" s="58">
        <f t="shared" si="12"/>
        <v>24.35</v>
      </c>
      <c r="Y14" s="58">
        <f t="shared" si="12"/>
        <v>24.450000000000003</v>
      </c>
      <c r="Z14" s="58">
        <f t="shared" si="12"/>
        <v>108.35</v>
      </c>
      <c r="AA14" s="58">
        <f t="shared" si="12"/>
        <v>0</v>
      </c>
      <c r="AB14" s="58">
        <f t="shared" si="12"/>
        <v>24.35</v>
      </c>
      <c r="AC14" s="58">
        <f t="shared" si="12"/>
        <v>0</v>
      </c>
      <c r="AD14" s="58">
        <f t="shared" si="12"/>
        <v>24.35</v>
      </c>
      <c r="AE14" s="58">
        <f t="shared" si="12"/>
        <v>0</v>
      </c>
      <c r="AF14" s="58">
        <f t="shared" si="12"/>
        <v>36.04</v>
      </c>
      <c r="AG14" s="58">
        <f t="shared" si="12"/>
        <v>0</v>
      </c>
      <c r="AH14" s="60"/>
      <c r="AI14" s="23"/>
    </row>
    <row r="15" spans="1:35" s="21" customFormat="1" ht="17.25" customHeight="1" x14ac:dyDescent="0.25">
      <c r="A15" s="520"/>
      <c r="B15" s="526"/>
      <c r="C15" s="126" t="s">
        <v>52</v>
      </c>
      <c r="D15" s="74">
        <f>SUM(J15,L15,N15,P15,R15,T15,V15,X15,Z15,AB15,AD15,AF15)</f>
        <v>96.4</v>
      </c>
      <c r="E15" s="62">
        <f>J15</f>
        <v>0</v>
      </c>
      <c r="F15" s="62">
        <f>G15</f>
        <v>96.403999999999996</v>
      </c>
      <c r="G15" s="62">
        <f>SUM(K15,M15,O15,Q15,S15,U15,W15,Y15,AA15,AC15,AE15,AG15)</f>
        <v>96.403999999999996</v>
      </c>
      <c r="H15" s="62">
        <f t="shared" si="13"/>
        <v>100.00414937759334</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0</v>
      </c>
      <c r="S15" s="62">
        <f t="shared" si="15"/>
        <v>0</v>
      </c>
      <c r="T15" s="62">
        <f t="shared" si="15"/>
        <v>96.4</v>
      </c>
      <c r="U15" s="74">
        <f t="shared" si="15"/>
        <v>96.403999999999996</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520"/>
      <c r="B16" s="526"/>
      <c r="C16" s="126" t="s">
        <v>22</v>
      </c>
      <c r="D16" s="74">
        <f>SUM(J16,L16,N16,P16,R16,T16,V16,X16,Z16,AB16,AD16,AF16)</f>
        <v>492.2000000000001</v>
      </c>
      <c r="E16" s="62">
        <f>J16</f>
        <v>0</v>
      </c>
      <c r="F16" s="62">
        <f>G16</f>
        <v>325.755</v>
      </c>
      <c r="G16" s="62">
        <f>SUM(K16,M16,O16,Q16,S16,U16,W16,Y16,AA16,AC16,AE16,AG16)</f>
        <v>325.755</v>
      </c>
      <c r="H16" s="62">
        <f t="shared" si="13"/>
        <v>66.183462007314091</v>
      </c>
      <c r="I16" s="62">
        <f t="shared" si="14"/>
        <v>0</v>
      </c>
      <c r="J16" s="63">
        <f>J20+J24+J28</f>
        <v>0</v>
      </c>
      <c r="K16" s="63">
        <f t="shared" ref="K16:AG17" si="16">K20+K24+K28</f>
        <v>0</v>
      </c>
      <c r="L16" s="63">
        <f t="shared" si="16"/>
        <v>0</v>
      </c>
      <c r="M16" s="63">
        <f t="shared" si="16"/>
        <v>0</v>
      </c>
      <c r="N16" s="63">
        <f t="shared" si="16"/>
        <v>10.1</v>
      </c>
      <c r="O16" s="63">
        <f t="shared" si="16"/>
        <v>10.1</v>
      </c>
      <c r="P16" s="63">
        <f t="shared" si="16"/>
        <v>13</v>
      </c>
      <c r="Q16" s="63">
        <f t="shared" si="16"/>
        <v>13</v>
      </c>
      <c r="R16" s="63">
        <f t="shared" si="16"/>
        <v>113.66</v>
      </c>
      <c r="S16" s="63">
        <f t="shared" si="16"/>
        <v>113.66</v>
      </c>
      <c r="T16" s="63">
        <f t="shared" si="16"/>
        <v>144.80000000000001</v>
      </c>
      <c r="U16" s="67">
        <f t="shared" si="16"/>
        <v>144.79499999999999</v>
      </c>
      <c r="V16" s="63">
        <f t="shared" si="16"/>
        <v>22.1</v>
      </c>
      <c r="W16" s="63">
        <f t="shared" si="16"/>
        <v>22.1</v>
      </c>
      <c r="X16" s="63">
        <f t="shared" si="16"/>
        <v>22.1</v>
      </c>
      <c r="Y16" s="63">
        <f t="shared" si="16"/>
        <v>22.1</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521"/>
      <c r="B17" s="527"/>
      <c r="C17" s="126" t="s">
        <v>21</v>
      </c>
      <c r="D17" s="74">
        <f>SUM(J17,L17,N17,P17,R17,T17,V17,X17,Z17,AB17,AD17,AF17)</f>
        <v>147.30000000000001</v>
      </c>
      <c r="E17" s="62">
        <f>J17</f>
        <v>0</v>
      </c>
      <c r="F17" s="62">
        <f>G17</f>
        <v>118.60999999999999</v>
      </c>
      <c r="G17" s="62">
        <f>SUM(K17,M17,O17,Q17,S17,U17,W17,Y17,AA17,AC17,AE17,AG17)</f>
        <v>118.60999999999999</v>
      </c>
      <c r="H17" s="62">
        <f t="shared" si="13"/>
        <v>80.522742701968752</v>
      </c>
      <c r="I17" s="62">
        <f t="shared" si="14"/>
        <v>0</v>
      </c>
      <c r="J17" s="67">
        <f>J21+J25+J29</f>
        <v>0</v>
      </c>
      <c r="K17" s="67">
        <f t="shared" si="16"/>
        <v>0</v>
      </c>
      <c r="L17" s="67">
        <f t="shared" si="16"/>
        <v>11.65</v>
      </c>
      <c r="M17" s="67">
        <f t="shared" si="16"/>
        <v>11.65</v>
      </c>
      <c r="N17" s="67">
        <f t="shared" si="16"/>
        <v>10.950000000000001</v>
      </c>
      <c r="O17" s="67">
        <f t="shared" si="16"/>
        <v>10.950000000000001</v>
      </c>
      <c r="P17" s="67">
        <f t="shared" si="16"/>
        <v>11.350000000000001</v>
      </c>
      <c r="Q17" s="67">
        <f t="shared" si="16"/>
        <v>8.93</v>
      </c>
      <c r="R17" s="67">
        <f t="shared" si="16"/>
        <v>25.15</v>
      </c>
      <c r="S17" s="67">
        <f t="shared" si="16"/>
        <v>25.24</v>
      </c>
      <c r="T17" s="67">
        <f t="shared" si="16"/>
        <v>57.05</v>
      </c>
      <c r="U17" s="67">
        <f t="shared" si="16"/>
        <v>57.149999999999991</v>
      </c>
      <c r="V17" s="67">
        <f t="shared" si="16"/>
        <v>2.25</v>
      </c>
      <c r="W17" s="67">
        <f t="shared" si="16"/>
        <v>2.34</v>
      </c>
      <c r="X17" s="67">
        <f t="shared" si="16"/>
        <v>2.25</v>
      </c>
      <c r="Y17" s="67">
        <f t="shared" si="16"/>
        <v>2.35</v>
      </c>
      <c r="Z17" s="67">
        <f t="shared" si="16"/>
        <v>19.05</v>
      </c>
      <c r="AA17" s="67">
        <f t="shared" si="16"/>
        <v>0</v>
      </c>
      <c r="AB17" s="67">
        <f t="shared" si="16"/>
        <v>2.25</v>
      </c>
      <c r="AC17" s="67">
        <f t="shared" si="16"/>
        <v>0</v>
      </c>
      <c r="AD17" s="67">
        <f t="shared" si="16"/>
        <v>2.25</v>
      </c>
      <c r="AE17" s="67">
        <f t="shared" si="16"/>
        <v>0</v>
      </c>
      <c r="AF17" s="67">
        <f t="shared" si="16"/>
        <v>3.0999999999999996</v>
      </c>
      <c r="AG17" s="67">
        <f t="shared" si="16"/>
        <v>0</v>
      </c>
      <c r="AH17" s="64"/>
      <c r="AI17" s="20"/>
    </row>
    <row r="18" spans="1:35" s="21" customFormat="1" ht="21" customHeight="1" x14ac:dyDescent="0.25">
      <c r="A18" s="519"/>
      <c r="B18" s="545" t="s">
        <v>116</v>
      </c>
      <c r="C18" s="125" t="s">
        <v>20</v>
      </c>
      <c r="D18" s="70">
        <f>D20+D21+D19</f>
        <v>273.89999999999998</v>
      </c>
      <c r="E18" s="58">
        <f t="shared" ref="E18:G18" si="17">E20+E21+E19</f>
        <v>300.2</v>
      </c>
      <c r="F18" s="58">
        <f t="shared" si="17"/>
        <v>273.899</v>
      </c>
      <c r="G18" s="58">
        <f t="shared" si="17"/>
        <v>273.899</v>
      </c>
      <c r="H18" s="58">
        <f t="shared" si="13"/>
        <v>99.999634903249373</v>
      </c>
      <c r="I18" s="58">
        <f t="shared" si="14"/>
        <v>91.238840772818136</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0</v>
      </c>
      <c r="S18" s="58">
        <f t="shared" si="18"/>
        <v>0</v>
      </c>
      <c r="T18" s="58">
        <f t="shared" si="18"/>
        <v>273.89999999999998</v>
      </c>
      <c r="U18" s="70">
        <f t="shared" si="18"/>
        <v>273.899</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60"/>
      <c r="AI18" s="23"/>
    </row>
    <row r="19" spans="1:35" s="21" customFormat="1" ht="23.25" customHeight="1" x14ac:dyDescent="0.25">
      <c r="A19" s="520"/>
      <c r="B19" s="546"/>
      <c r="C19" s="126" t="s">
        <v>52</v>
      </c>
      <c r="D19" s="74">
        <f>SUM(J19,L19,N19,P19,R19,T19,V19,X19,Z19,AB19,AD19,AF19)</f>
        <v>96.4</v>
      </c>
      <c r="E19" s="62">
        <f>J19+T20</f>
        <v>122.7</v>
      </c>
      <c r="F19" s="62">
        <f>G19</f>
        <v>96.403999999999996</v>
      </c>
      <c r="G19" s="62">
        <f>SUM(K19,M19,O19,Q19,S19,U19,W19,Y19,AA19,AC19,AE19,AG19)</f>
        <v>96.403999999999996</v>
      </c>
      <c r="H19" s="62">
        <f t="shared" si="13"/>
        <v>100.00414937759334</v>
      </c>
      <c r="I19" s="62">
        <f t="shared" si="14"/>
        <v>78.568867155664208</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520"/>
      <c r="B20" s="546"/>
      <c r="C20" s="126" t="s">
        <v>22</v>
      </c>
      <c r="D20" s="74">
        <f>SUM(J20,L20,N20,P20,R20,T20,V20,X20,Z20,AB20,AD20,AF20)</f>
        <v>122.7</v>
      </c>
      <c r="E20" s="62">
        <f>J20+T20</f>
        <v>122.7</v>
      </c>
      <c r="F20" s="62">
        <f>G20</f>
        <v>122.69499999999999</v>
      </c>
      <c r="G20" s="62">
        <f>SUM(K20,M20,O20,Q20,S20,U20,W20,Y20,AA20,AC20,AE20,AG20)</f>
        <v>122.69499999999999</v>
      </c>
      <c r="H20" s="62">
        <f t="shared" si="13"/>
        <v>99.995925020374884</v>
      </c>
      <c r="I20" s="62">
        <f t="shared" si="14"/>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521"/>
      <c r="B21" s="595"/>
      <c r="C21" s="126" t="s">
        <v>21</v>
      </c>
      <c r="D21" s="74">
        <f>SUM(J21,L21,N21,P21,R21,T21,V21,X21,Z21,AB21,AD21,AF21)</f>
        <v>54.8</v>
      </c>
      <c r="E21" s="62">
        <f>J21+T21</f>
        <v>54.8</v>
      </c>
      <c r="F21" s="62">
        <f>G21</f>
        <v>54.8</v>
      </c>
      <c r="G21" s="62">
        <f>SUM(K21,M21,O21,Q21,S21,U21,W21,Y21,AA21,AC21,AE21,AG21)</f>
        <v>54.8</v>
      </c>
      <c r="H21" s="62">
        <f t="shared" si="13"/>
        <v>100</v>
      </c>
      <c r="I21" s="62">
        <f t="shared" si="14"/>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519"/>
      <c r="B22" s="545" t="s">
        <v>117</v>
      </c>
      <c r="C22" s="125" t="s">
        <v>20</v>
      </c>
      <c r="D22" s="70">
        <f>D24+D25+D23</f>
        <v>184.29999999999998</v>
      </c>
      <c r="E22" s="58">
        <f t="shared" ref="E22:G22" si="19">E24+E25+E23</f>
        <v>126.00999999999999</v>
      </c>
      <c r="F22" s="58">
        <f t="shared" si="19"/>
        <v>126.00999999999999</v>
      </c>
      <c r="G22" s="58">
        <f t="shared" si="19"/>
        <v>126.00999999999999</v>
      </c>
      <c r="H22" s="58">
        <f t="shared" si="13"/>
        <v>68.372219207813345</v>
      </c>
      <c r="I22" s="58">
        <f t="shared" si="14"/>
        <v>100</v>
      </c>
      <c r="J22" s="58">
        <f t="shared" ref="J22:AG22" si="20">J24+J25+J23</f>
        <v>0</v>
      </c>
      <c r="K22" s="58">
        <f t="shared" si="20"/>
        <v>0</v>
      </c>
      <c r="L22" s="58">
        <f t="shared" si="20"/>
        <v>11.65</v>
      </c>
      <c r="M22" s="58">
        <f t="shared" si="20"/>
        <v>11.65</v>
      </c>
      <c r="N22" s="58">
        <f t="shared" si="20"/>
        <v>11.65</v>
      </c>
      <c r="O22" s="58">
        <f t="shared" si="20"/>
        <v>11.65</v>
      </c>
      <c r="P22" s="58">
        <f t="shared" si="20"/>
        <v>11.65</v>
      </c>
      <c r="Q22" s="58">
        <f t="shared" si="20"/>
        <v>11.65</v>
      </c>
      <c r="R22" s="58">
        <f t="shared" si="20"/>
        <v>56.11</v>
      </c>
      <c r="S22" s="58">
        <f t="shared" si="20"/>
        <v>56.11</v>
      </c>
      <c r="T22" s="58">
        <f t="shared" si="20"/>
        <v>11.65</v>
      </c>
      <c r="U22" s="70">
        <f t="shared" si="20"/>
        <v>11.65</v>
      </c>
      <c r="V22" s="58">
        <f t="shared" si="20"/>
        <v>11.65</v>
      </c>
      <c r="W22" s="58">
        <f t="shared" si="20"/>
        <v>11.65</v>
      </c>
      <c r="X22" s="58">
        <f t="shared" si="20"/>
        <v>11.65</v>
      </c>
      <c r="Y22" s="58">
        <f t="shared" si="20"/>
        <v>11.65</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520"/>
      <c r="B23" s="546"/>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520"/>
      <c r="B24" s="546"/>
      <c r="C24" s="126" t="s">
        <v>22</v>
      </c>
      <c r="D24" s="74">
        <f>SUM(J24,L24,N24,P24,R24,T24,V24,X24,Z24,AB24,AD24,AF24)</f>
        <v>147.39999999999998</v>
      </c>
      <c r="E24" s="62">
        <f>J24+L24+N24+P24+R24+T24++V24+X24</f>
        <v>96.159999999999982</v>
      </c>
      <c r="F24" s="62">
        <f>G24</f>
        <v>96.159999999999982</v>
      </c>
      <c r="G24" s="62">
        <f>SUM(K24,M24,O24,Q24,S24,U24,W24,Y24,AA24,AC24,AE24,AG24)</f>
        <v>96.159999999999982</v>
      </c>
      <c r="H24" s="62">
        <f t="shared" si="13"/>
        <v>65.237449118046129</v>
      </c>
      <c r="I24" s="62">
        <f t="shared" si="14"/>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0</v>
      </c>
      <c r="AB24" s="63">
        <v>10.1</v>
      </c>
      <c r="AC24" s="63">
        <v>0</v>
      </c>
      <c r="AD24" s="63">
        <v>10.1</v>
      </c>
      <c r="AE24" s="63">
        <v>0</v>
      </c>
      <c r="AF24" s="63">
        <v>20.94</v>
      </c>
      <c r="AG24" s="63">
        <v>0</v>
      </c>
      <c r="AH24" s="60"/>
      <c r="AI24" s="23"/>
    </row>
    <row r="25" spans="1:35" s="22" customFormat="1" ht="28.5" customHeight="1" x14ac:dyDescent="0.25">
      <c r="A25" s="521"/>
      <c r="B25" s="595"/>
      <c r="C25" s="126" t="s">
        <v>21</v>
      </c>
      <c r="D25" s="74">
        <f>SUM(J25,L25,N25,P25,R25,T25,V25,X25,Z25,AB25,AD25,AF25)</f>
        <v>36.9</v>
      </c>
      <c r="E25" s="62">
        <f>J25+L25+N25+P25+R25+T25+V25+X25</f>
        <v>29.850000000000005</v>
      </c>
      <c r="F25" s="62">
        <f>G25</f>
        <v>29.850000000000005</v>
      </c>
      <c r="G25" s="62">
        <f>SUM(K25,M25,O25,Q25,S25,U25,W25,Y25,AA25,AC25,AE25,AG25)</f>
        <v>29.850000000000005</v>
      </c>
      <c r="H25" s="62">
        <f t="shared" si="13"/>
        <v>80.894308943089442</v>
      </c>
      <c r="I25" s="62">
        <f t="shared" si="14"/>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0</v>
      </c>
      <c r="AB25" s="67">
        <v>1.55</v>
      </c>
      <c r="AC25" s="67">
        <v>0</v>
      </c>
      <c r="AD25" s="67">
        <v>1.55</v>
      </c>
      <c r="AE25" s="67">
        <v>0</v>
      </c>
      <c r="AF25" s="67">
        <v>2.4</v>
      </c>
      <c r="AG25" s="67">
        <v>0</v>
      </c>
      <c r="AH25" s="64"/>
      <c r="AI25" s="20"/>
    </row>
    <row r="26" spans="1:35" s="21" customFormat="1" ht="24.75" customHeight="1" x14ac:dyDescent="0.25">
      <c r="A26" s="519"/>
      <c r="B26" s="545" t="s">
        <v>118</v>
      </c>
      <c r="C26" s="125" t="s">
        <v>20</v>
      </c>
      <c r="D26" s="70">
        <f>D28+D29+D27</f>
        <v>277.70000000000005</v>
      </c>
      <c r="E26" s="58">
        <f t="shared" ref="E26:G26" si="21">E28+E29+E27</f>
        <v>142.90000000000003</v>
      </c>
      <c r="F26" s="58">
        <f t="shared" si="21"/>
        <v>140.86000000000001</v>
      </c>
      <c r="G26" s="58">
        <f t="shared" si="21"/>
        <v>140.86000000000001</v>
      </c>
      <c r="H26" s="58">
        <f t="shared" si="13"/>
        <v>50.723802664746117</v>
      </c>
      <c r="I26" s="58">
        <f t="shared" si="14"/>
        <v>98.572428271518532</v>
      </c>
      <c r="J26" s="58">
        <f t="shared" ref="J26:AG26" si="22">J28+J29+J27</f>
        <v>0</v>
      </c>
      <c r="K26" s="58">
        <f t="shared" si="22"/>
        <v>0</v>
      </c>
      <c r="L26" s="58">
        <f t="shared" si="22"/>
        <v>0</v>
      </c>
      <c r="M26" s="58">
        <f t="shared" si="22"/>
        <v>0</v>
      </c>
      <c r="N26" s="58">
        <f t="shared" si="22"/>
        <v>9.4</v>
      </c>
      <c r="O26" s="58">
        <f t="shared" si="22"/>
        <v>9.4</v>
      </c>
      <c r="P26" s="58">
        <f t="shared" si="22"/>
        <v>12.700000000000001</v>
      </c>
      <c r="Q26" s="58">
        <f t="shared" si="22"/>
        <v>10.28</v>
      </c>
      <c r="R26" s="58">
        <f t="shared" si="22"/>
        <v>82.7</v>
      </c>
      <c r="S26" s="58">
        <f t="shared" si="22"/>
        <v>82.789999999999992</v>
      </c>
      <c r="T26" s="58">
        <f t="shared" si="22"/>
        <v>12.7</v>
      </c>
      <c r="U26" s="70">
        <f t="shared" si="22"/>
        <v>12.8</v>
      </c>
      <c r="V26" s="58">
        <f t="shared" si="22"/>
        <v>12.7</v>
      </c>
      <c r="W26" s="58">
        <f t="shared" si="22"/>
        <v>12.79</v>
      </c>
      <c r="X26" s="58">
        <f t="shared" si="22"/>
        <v>12.7</v>
      </c>
      <c r="Y26" s="58">
        <f t="shared" si="22"/>
        <v>12.8</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07" t="s">
        <v>338</v>
      </c>
      <c r="AI26" s="23"/>
    </row>
    <row r="27" spans="1:35" s="21" customFormat="1" ht="42.75" hidden="1" customHeight="1" x14ac:dyDescent="0.25">
      <c r="A27" s="520"/>
      <c r="B27" s="546"/>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520"/>
      <c r="B28" s="546"/>
      <c r="C28" s="126" t="s">
        <v>22</v>
      </c>
      <c r="D28" s="74">
        <f>SUM(J28,L28,N28,P28,R28,T28,V28,X28,Z28,AB28,AD28,AF28)</f>
        <v>222.10000000000002</v>
      </c>
      <c r="E28" s="62">
        <f>J28+L28+N28+P28+R28+T28+V28+X28</f>
        <v>106.9</v>
      </c>
      <c r="F28" s="62">
        <f>G28</f>
        <v>106.9</v>
      </c>
      <c r="G28" s="62">
        <f>SUM(K28,M28,O28,Q28,S28,U28,W28,Y28,AA28,AC28,AE28,AG28)</f>
        <v>106.9</v>
      </c>
      <c r="H28" s="62">
        <f t="shared" si="13"/>
        <v>48.131472309770373</v>
      </c>
      <c r="I28" s="62">
        <f t="shared" si="14"/>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0</v>
      </c>
      <c r="AB28" s="63">
        <v>12</v>
      </c>
      <c r="AC28" s="63">
        <v>0</v>
      </c>
      <c r="AD28" s="63">
        <v>12</v>
      </c>
      <c r="AE28" s="63">
        <v>0</v>
      </c>
      <c r="AF28" s="63">
        <v>12</v>
      </c>
      <c r="AG28" s="63">
        <v>0</v>
      </c>
      <c r="AH28" s="60"/>
      <c r="AI28" s="23"/>
    </row>
    <row r="29" spans="1:35" s="22" customFormat="1" ht="38.25" customHeight="1" x14ac:dyDescent="0.25">
      <c r="A29" s="521"/>
      <c r="B29" s="595"/>
      <c r="C29" s="126" t="s">
        <v>21</v>
      </c>
      <c r="D29" s="74">
        <f>SUM(J29,L29,N29,P29,R29,T29,V29,X29,Z29,AB29,AD29,AF29)</f>
        <v>55.600000000000023</v>
      </c>
      <c r="E29" s="62">
        <f>J29+L29+N29+P29+R29+T29+V29+X29</f>
        <v>36.000000000000014</v>
      </c>
      <c r="F29" s="62">
        <f>G29</f>
        <v>33.959999999999994</v>
      </c>
      <c r="G29" s="62">
        <f>SUM(K29,M29,O29,Q29,S29,U29,W29,Y29,AA29,AC29,AE29,AG29)</f>
        <v>33.959999999999994</v>
      </c>
      <c r="H29" s="62">
        <f t="shared" si="13"/>
        <v>61.079136690647452</v>
      </c>
      <c r="I29" s="62">
        <f t="shared" si="14"/>
        <v>94.333333333333286</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0</v>
      </c>
      <c r="AB29" s="67">
        <v>0.7</v>
      </c>
      <c r="AC29" s="67">
        <v>0</v>
      </c>
      <c r="AD29" s="67">
        <v>0.7</v>
      </c>
      <c r="AE29" s="67">
        <v>0</v>
      </c>
      <c r="AF29" s="67">
        <v>0.7</v>
      </c>
      <c r="AG29" s="67">
        <v>0</v>
      </c>
      <c r="AH29" s="64"/>
      <c r="AI29" s="20"/>
    </row>
    <row r="30" spans="1:35" s="21" customFormat="1" ht="21" customHeight="1" x14ac:dyDescent="0.25">
      <c r="A30" s="519" t="s">
        <v>76</v>
      </c>
      <c r="B30" s="525" t="s">
        <v>119</v>
      </c>
      <c r="C30" s="125" t="s">
        <v>20</v>
      </c>
      <c r="D30" s="70">
        <f>D32+D33+D31</f>
        <v>17366.899000000001</v>
      </c>
      <c r="E30" s="58">
        <f t="shared" ref="E30:G30" si="23">E32+E33+E31</f>
        <v>11618.835999999999</v>
      </c>
      <c r="F30" s="58">
        <f t="shared" si="23"/>
        <v>1486.9740000000002</v>
      </c>
      <c r="G30" s="58">
        <f t="shared" si="23"/>
        <v>11618.83</v>
      </c>
      <c r="H30" s="58">
        <f t="shared" si="13"/>
        <v>66.902156798401364</v>
      </c>
      <c r="I30" s="58">
        <f t="shared" si="14"/>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520"/>
      <c r="B31" s="526"/>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3"/>
        <v>66.902474186142413</v>
      </c>
      <c r="I31" s="62">
        <f t="shared" si="14"/>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520"/>
      <c r="B32" s="526"/>
      <c r="C32" s="126" t="s">
        <v>22</v>
      </c>
      <c r="D32" s="74">
        <f>SUM(J32,L32,N32,P32,R32,T32,V32,X32,Z32,AB32,AD32,AF32)</f>
        <v>10381.886</v>
      </c>
      <c r="E32" s="62">
        <f>J32+L32+N32+P32+R32+T32+V32+X32</f>
        <v>6945.7360000000008</v>
      </c>
      <c r="F32" s="62">
        <v>888.91300000000001</v>
      </c>
      <c r="G32" s="62">
        <f>SUM(K32,M32,O32,Q32,S32,U32,W32,Y32,AA32,AC32,AE32,AG32)</f>
        <v>6945.73</v>
      </c>
      <c r="H32" s="62">
        <f t="shared" si="13"/>
        <v>66.902391338144142</v>
      </c>
      <c r="I32" s="62">
        <f t="shared" si="14"/>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521"/>
      <c r="B33" s="527"/>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3"/>
        <v>66.88908335156421</v>
      </c>
      <c r="I33" s="62">
        <f t="shared" si="14"/>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547" t="s">
        <v>37</v>
      </c>
      <c r="B34" s="553" t="s">
        <v>120</v>
      </c>
      <c r="C34" s="125" t="s">
        <v>20</v>
      </c>
      <c r="D34" s="70">
        <f>D36+D35</f>
        <v>595216.56599999988</v>
      </c>
      <c r="E34" s="58">
        <f t="shared" ref="E34:G34" si="25">E36+E35</f>
        <v>34614.751000000004</v>
      </c>
      <c r="F34" s="58" t="e">
        <f t="shared" si="25"/>
        <v>#REF!</v>
      </c>
      <c r="G34" s="58" t="e">
        <f t="shared" si="25"/>
        <v>#REF!</v>
      </c>
      <c r="H34" s="58">
        <f t="shared" si="13"/>
        <v>0</v>
      </c>
      <c r="I34" s="58">
        <f t="shared" si="14"/>
        <v>0</v>
      </c>
      <c r="J34" s="59">
        <f>J36+J35</f>
        <v>34614.751000000004</v>
      </c>
      <c r="K34" s="59">
        <f t="shared" ref="K34:AG34" si="26">K36+K35</f>
        <v>20016.370999999996</v>
      </c>
      <c r="L34" s="59">
        <f t="shared" si="26"/>
        <v>37216.591</v>
      </c>
      <c r="M34" s="59">
        <f t="shared" si="26"/>
        <v>30273.255000000001</v>
      </c>
      <c r="N34" s="59">
        <f t="shared" si="26"/>
        <v>155042.79099999997</v>
      </c>
      <c r="O34" s="59">
        <f t="shared" si="26"/>
        <v>101451.46899999998</v>
      </c>
      <c r="P34" s="59">
        <f t="shared" si="26"/>
        <v>52847.724000000002</v>
      </c>
      <c r="Q34" s="59">
        <f t="shared" si="26"/>
        <v>40002.182999999997</v>
      </c>
      <c r="R34" s="59">
        <f t="shared" si="26"/>
        <v>35317.108</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11425.767</v>
      </c>
      <c r="AB34" s="59">
        <f t="shared" si="26"/>
        <v>30063.099000000002</v>
      </c>
      <c r="AC34" s="59" t="e">
        <f t="shared" si="26"/>
        <v>#REF!</v>
      </c>
      <c r="AD34" s="59">
        <f t="shared" si="26"/>
        <v>24322.305</v>
      </c>
      <c r="AE34" s="59">
        <f t="shared" si="26"/>
        <v>0</v>
      </c>
      <c r="AF34" s="59">
        <f t="shared" si="26"/>
        <v>33785.107000000004</v>
      </c>
      <c r="AG34" s="59">
        <f t="shared" si="26"/>
        <v>0</v>
      </c>
      <c r="AH34" s="60"/>
      <c r="AI34" s="20"/>
    </row>
    <row r="35" spans="1:35" s="26" customFormat="1" ht="55.5" customHeight="1" x14ac:dyDescent="0.25">
      <c r="A35" s="548"/>
      <c r="B35" s="554"/>
      <c r="C35" s="124" t="s">
        <v>21</v>
      </c>
      <c r="D35" s="74">
        <f>SUM(J35,L35,N35,P35,R35,T35,V35,X35,Z35,AB35,AD35,AF35)</f>
        <v>569062.89999999991</v>
      </c>
      <c r="E35" s="74">
        <f>J35</f>
        <v>31904.598000000002</v>
      </c>
      <c r="F35" s="74" t="e">
        <f>G35</f>
        <v>#REF!</v>
      </c>
      <c r="G35" s="74" t="e">
        <f>SUM(K35,M35,O35,Q35,S35,U35,W35,Y35,AA35,AC35,AE35,AG35)</f>
        <v>#REF!</v>
      </c>
      <c r="H35" s="74">
        <f>IFERROR(G35/D35*100,0)</f>
        <v>0</v>
      </c>
      <c r="I35" s="74">
        <f>IFERROR(G35/E35*100,0)</f>
        <v>0</v>
      </c>
      <c r="J35" s="67">
        <f t="shared" ref="J35:AG35" si="27">J38+J69+J76</f>
        <v>31904.598000000002</v>
      </c>
      <c r="K35" s="67">
        <f t="shared" si="27"/>
        <v>19293.159999999996</v>
      </c>
      <c r="L35" s="67">
        <f t="shared" si="27"/>
        <v>35158.641000000003</v>
      </c>
      <c r="M35" s="67">
        <f t="shared" si="27"/>
        <v>29081.023000000001</v>
      </c>
      <c r="N35" s="67">
        <f t="shared" si="27"/>
        <v>152509.18099999998</v>
      </c>
      <c r="O35" s="67">
        <f t="shared" si="27"/>
        <v>99854.048999999985</v>
      </c>
      <c r="P35" s="67">
        <f t="shared" si="27"/>
        <v>49222.975000000006</v>
      </c>
      <c r="Q35" s="67">
        <f t="shared" si="27"/>
        <v>37866.860999999997</v>
      </c>
      <c r="R35" s="67">
        <f t="shared" si="27"/>
        <v>33632.445</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10190.243</v>
      </c>
      <c r="AB35" s="67">
        <f t="shared" si="27"/>
        <v>27930.921000000002</v>
      </c>
      <c r="AC35" s="67" t="e">
        <f t="shared" si="27"/>
        <v>#REF!</v>
      </c>
      <c r="AD35" s="67">
        <f t="shared" si="27"/>
        <v>22270.365000000002</v>
      </c>
      <c r="AE35" s="67">
        <f t="shared" si="27"/>
        <v>0</v>
      </c>
      <c r="AF35" s="67">
        <f t="shared" si="27"/>
        <v>31826.580000000005</v>
      </c>
      <c r="AG35" s="67">
        <f t="shared" si="27"/>
        <v>0</v>
      </c>
      <c r="AH35" s="72"/>
      <c r="AI35" s="24"/>
    </row>
    <row r="36" spans="1:35" s="26" customFormat="1" ht="37.5" customHeight="1" x14ac:dyDescent="0.25">
      <c r="A36" s="520"/>
      <c r="B36" s="554"/>
      <c r="C36" s="124" t="s">
        <v>113</v>
      </c>
      <c r="D36" s="74">
        <f>SUM(J36,L36,N36,P36,R36,T36,V36,X36,Z36,AB36,AD36,AF36)</f>
        <v>26153.665999999997</v>
      </c>
      <c r="E36" s="74">
        <f>J36</f>
        <v>2710.1529999999998</v>
      </c>
      <c r="F36" s="74">
        <f>G36</f>
        <v>15940.546999999999</v>
      </c>
      <c r="G36" s="74">
        <f>SUM(K36,M36,O36,Q36,S36,U36,W36,Y36,AA36,AC36,AE36,AG36)</f>
        <v>15940.546999999999</v>
      </c>
      <c r="H36" s="74">
        <f>IFERROR(G36/D36*100,0)</f>
        <v>60.949570129097772</v>
      </c>
      <c r="I36" s="74">
        <f>IFERROR(G36/E36*100,0)</f>
        <v>588.17885927473469</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1235.5239999999999</v>
      </c>
      <c r="AB36" s="67">
        <f t="shared" si="28"/>
        <v>2132.1779999999999</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547"/>
      <c r="B37" s="551" t="s">
        <v>121</v>
      </c>
      <c r="C37" s="125" t="s">
        <v>20</v>
      </c>
      <c r="D37" s="70">
        <f>D39+D38</f>
        <v>565106.76599999995</v>
      </c>
      <c r="E37" s="58">
        <f t="shared" ref="E37:G37" si="29">E39+E38</f>
        <v>22309.550999999999</v>
      </c>
      <c r="F37" s="58" t="e">
        <f t="shared" si="29"/>
        <v>#REF!</v>
      </c>
      <c r="G37" s="58" t="e">
        <f t="shared" si="29"/>
        <v>#REF!</v>
      </c>
      <c r="H37" s="58">
        <f t="shared" ref="H37" si="30">IFERROR(G37/D37*100,0)</f>
        <v>0</v>
      </c>
      <c r="I37" s="58">
        <f t="shared" ref="I37" si="31">IFERROR(G37/E37*100,0)</f>
        <v>0</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11425.767</v>
      </c>
      <c r="AB37" s="59">
        <f t="shared" si="32"/>
        <v>27658.899000000001</v>
      </c>
      <c r="AC37" s="59" t="e">
        <f t="shared" si="32"/>
        <v>#REF!</v>
      </c>
      <c r="AD37" s="59">
        <f t="shared" si="32"/>
        <v>24322.305</v>
      </c>
      <c r="AE37" s="59">
        <f t="shared" si="32"/>
        <v>0</v>
      </c>
      <c r="AF37" s="59">
        <f t="shared" si="32"/>
        <v>33656.407000000007</v>
      </c>
      <c r="AG37" s="59">
        <f t="shared" si="32"/>
        <v>0</v>
      </c>
      <c r="AH37" s="60"/>
      <c r="AI37" s="20"/>
    </row>
    <row r="38" spans="1:35" s="22" customFormat="1" ht="54" customHeight="1" x14ac:dyDescent="0.25">
      <c r="A38" s="548"/>
      <c r="B38" s="552"/>
      <c r="C38" s="126" t="s">
        <v>21</v>
      </c>
      <c r="D38" s="74">
        <f>SUM(J38,L38,N38,P38,R38,T38,V38,X38,Z38,AB38,AD38,AF38)</f>
        <v>538953.1</v>
      </c>
      <c r="E38" s="62">
        <f>J38</f>
        <v>19599.398000000001</v>
      </c>
      <c r="F38" s="62" t="e">
        <f>G38</f>
        <v>#REF!</v>
      </c>
      <c r="G38" s="62" t="e">
        <f>SUM(K38,M38,O38,Q38,S38,U38,W38,Y38,AA38,AC38,AE38,AG38)</f>
        <v>#REF!</v>
      </c>
      <c r="H38" s="62">
        <f>IFERROR(G38/D38*100,0)</f>
        <v>0</v>
      </c>
      <c r="I38" s="62">
        <f>IFERROR(G38/E38*100,0)</f>
        <v>0</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10190.243</v>
      </c>
      <c r="AB38" s="63">
        <f t="shared" si="33"/>
        <v>25526.721000000001</v>
      </c>
      <c r="AC38" s="63" t="e">
        <f t="shared" si="33"/>
        <v>#REF!</v>
      </c>
      <c r="AD38" s="63">
        <f t="shared" si="33"/>
        <v>22270.365000000002</v>
      </c>
      <c r="AE38" s="63">
        <f t="shared" si="33"/>
        <v>0</v>
      </c>
      <c r="AF38" s="63">
        <f t="shared" si="33"/>
        <v>31697.880000000005</v>
      </c>
      <c r="AG38" s="63">
        <f t="shared" si="33"/>
        <v>0</v>
      </c>
      <c r="AH38" s="60"/>
      <c r="AI38" s="20"/>
    </row>
    <row r="39" spans="1:35" s="22" customFormat="1" ht="46.5" customHeight="1" x14ac:dyDescent="0.25">
      <c r="A39" s="520"/>
      <c r="B39" s="552"/>
      <c r="C39" s="126" t="s">
        <v>113</v>
      </c>
      <c r="D39" s="74">
        <f>SUM(J39,L39,N39,P39,R39,T39,V39,X39,Z39,AB39,AD39,AF39)</f>
        <v>26153.665999999997</v>
      </c>
      <c r="E39" s="62">
        <f>J39</f>
        <v>2710.1529999999998</v>
      </c>
      <c r="F39" s="62">
        <f>G39</f>
        <v>15940.546999999999</v>
      </c>
      <c r="G39" s="62">
        <f>SUM(K39,M39,O39,Q39,S39,U39,W39,Y39,AA39,AC39,AE39,AG39)</f>
        <v>15940.546999999999</v>
      </c>
      <c r="H39" s="62">
        <f>IFERROR(G39/D39*100,0)</f>
        <v>60.949570129097772</v>
      </c>
      <c r="I39" s="62">
        <f>IFERROR(G39/E39*100,0)</f>
        <v>588.17885927473469</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1235.5239999999999</v>
      </c>
      <c r="AB39" s="63">
        <f t="shared" si="34"/>
        <v>2132.1779999999999</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531"/>
      <c r="B40" s="534" t="s">
        <v>122</v>
      </c>
      <c r="C40" s="126" t="s">
        <v>20</v>
      </c>
      <c r="D40" s="74">
        <f>D42+D41</f>
        <v>77132.188999999984</v>
      </c>
      <c r="E40" s="62">
        <f t="shared" ref="E40:G40" si="35">E42+E41</f>
        <v>51600.148999999998</v>
      </c>
      <c r="F40" s="62">
        <f t="shared" si="35"/>
        <v>48309.789999999994</v>
      </c>
      <c r="G40" s="62">
        <f t="shared" si="35"/>
        <v>48309.789999999994</v>
      </c>
      <c r="H40" s="62">
        <f t="shared" ref="H40" si="36">IFERROR(G40/D40*100,0)</f>
        <v>62.632463341601785</v>
      </c>
      <c r="I40" s="62">
        <f t="shared" ref="I40" si="37">IFERROR(G40/E40*100,0)</f>
        <v>93.62335368450195</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0</v>
      </c>
      <c r="AB40" s="63">
        <f t="shared" si="38"/>
        <v>5257.22</v>
      </c>
      <c r="AC40" s="63">
        <f t="shared" si="38"/>
        <v>0</v>
      </c>
      <c r="AD40" s="63">
        <f t="shared" si="38"/>
        <v>5191.72</v>
      </c>
      <c r="AE40" s="63">
        <f t="shared" si="38"/>
        <v>0</v>
      </c>
      <c r="AF40" s="63">
        <f t="shared" si="38"/>
        <v>9042.08</v>
      </c>
      <c r="AG40" s="63">
        <f t="shared" si="38"/>
        <v>0</v>
      </c>
      <c r="AH40" s="422" t="s">
        <v>390</v>
      </c>
      <c r="AI40" s="20"/>
    </row>
    <row r="41" spans="1:35" s="22" customFormat="1" ht="33.75" customHeight="1" x14ac:dyDescent="0.25">
      <c r="A41" s="532"/>
      <c r="B41" s="535"/>
      <c r="C41" s="126" t="s">
        <v>21</v>
      </c>
      <c r="D41" s="74">
        <f>SUM(J41,L41,N41,P41,R41,T41,V41,X41,Z41,AB41,AD41,AF41)</f>
        <v>77044.89899999999</v>
      </c>
      <c r="E41" s="62">
        <f>J41+L41+N41+P41+R41+T41+V41+X41</f>
        <v>51515.589</v>
      </c>
      <c r="F41" s="62">
        <f>G41</f>
        <v>48262.59</v>
      </c>
      <c r="G41" s="62">
        <f>SUM(K41,M41,O41,Q41,S41,U41,W41,Y41,AA41,AC41,AE41,AG41)</f>
        <v>48262.59</v>
      </c>
      <c r="H41" s="62">
        <f>IFERROR(G41/D41*100,0)</f>
        <v>62.642161423302021</v>
      </c>
      <c r="I41" s="62">
        <f>IFERROR(G41/E41*100,0)</f>
        <v>93.685408508092564</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0</v>
      </c>
      <c r="AB41" s="63">
        <v>5256.5</v>
      </c>
      <c r="AC41" s="63">
        <v>0</v>
      </c>
      <c r="AD41" s="63">
        <v>5191</v>
      </c>
      <c r="AE41" s="63">
        <v>0</v>
      </c>
      <c r="AF41" s="63">
        <v>9041.51</v>
      </c>
      <c r="AG41" s="63">
        <v>0</v>
      </c>
      <c r="AH41" s="64"/>
      <c r="AI41" s="20"/>
    </row>
    <row r="42" spans="1:35" s="22" customFormat="1" ht="28.5" customHeight="1" x14ac:dyDescent="0.25">
      <c r="A42" s="533"/>
      <c r="B42" s="536"/>
      <c r="C42" s="126" t="s">
        <v>113</v>
      </c>
      <c r="D42" s="74">
        <f>SUM(J42,L42,N42,P42,R42,T42,V42,X42,Z42,AB42,AD42,AF42)</f>
        <v>87.289999999999992</v>
      </c>
      <c r="E42" s="62">
        <f>J42+L42+N42+P42+R42+T42+V42+X42</f>
        <v>84.56</v>
      </c>
      <c r="F42" s="62">
        <f>G42</f>
        <v>47.2</v>
      </c>
      <c r="G42" s="62">
        <f>SUM(K42,M42,O42,Q42,S42,U42,W42,Y42,AA42,AC42,AE42,AG42)</f>
        <v>47.2</v>
      </c>
      <c r="H42" s="62">
        <f>IFERROR(G42/D42*100,0)</f>
        <v>54.072631458357215</v>
      </c>
      <c r="I42" s="62">
        <f>IFERROR(G42/E42*100,0)</f>
        <v>55.818353831598863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530"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530"/>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530"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99" t="s">
        <v>373</v>
      </c>
      <c r="AI45" s="20"/>
    </row>
    <row r="46" spans="1:35" s="22" customFormat="1" ht="37.5" customHeight="1" x14ac:dyDescent="0.25">
      <c r="A46" s="117"/>
      <c r="B46" s="530"/>
      <c r="C46" s="126" t="s">
        <v>21</v>
      </c>
      <c r="D46" s="74">
        <f t="shared" ref="D46" si="48">SUM(J46,L46,N46,P46,R46,T46,V46,X46,Z46,AB46,AD46,AF46)</f>
        <v>144.60000000000002</v>
      </c>
      <c r="E46" s="62">
        <f>J46+L46+N46</f>
        <v>144.60000000000002</v>
      </c>
      <c r="F46" s="62">
        <v>144.6</v>
      </c>
      <c r="G46" s="62">
        <f t="shared" ref="G46" si="49">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531"/>
      <c r="B47" s="534" t="s">
        <v>125</v>
      </c>
      <c r="C47" s="126" t="s">
        <v>20</v>
      </c>
      <c r="D47" s="74">
        <f>D49+D48</f>
        <v>84674.376999999993</v>
      </c>
      <c r="E47" s="62">
        <f t="shared" ref="E47:G47" si="50">E49+E48</f>
        <v>62139.457999999999</v>
      </c>
      <c r="F47" s="62">
        <f t="shared" si="50"/>
        <v>54381.498</v>
      </c>
      <c r="G47" s="62">
        <f t="shared" si="50"/>
        <v>54381.498</v>
      </c>
      <c r="H47" s="62">
        <f t="shared" si="41"/>
        <v>64.224267041256184</v>
      </c>
      <c r="I47" s="62">
        <f t="shared" si="42"/>
        <v>87.515243534953271</v>
      </c>
      <c r="J47" s="63">
        <f>J49+J48</f>
        <v>7550.9749999999995</v>
      </c>
      <c r="K47" s="63">
        <f t="shared" ref="K47:AG47" si="51">K49+K48</f>
        <v>2438.6909999999998</v>
      </c>
      <c r="L47" s="63">
        <f t="shared" si="51"/>
        <v>7779.5070000000005</v>
      </c>
      <c r="M47" s="63">
        <f t="shared" si="51"/>
        <v>5672.7740000000003</v>
      </c>
      <c r="N47" s="63">
        <f t="shared" si="51"/>
        <v>8421.494999999999</v>
      </c>
      <c r="O47" s="63">
        <f t="shared" si="51"/>
        <v>4946.4349999999995</v>
      </c>
      <c r="P47" s="63">
        <f t="shared" si="51"/>
        <v>7138.4609999999993</v>
      </c>
      <c r="Q47" s="63">
        <f t="shared" si="51"/>
        <v>9771.5190000000002</v>
      </c>
      <c r="R47" s="63">
        <f t="shared" si="51"/>
        <v>8100.7</v>
      </c>
      <c r="S47" s="63">
        <f t="shared" si="51"/>
        <v>8281.3960000000006</v>
      </c>
      <c r="T47" s="63">
        <f t="shared" si="51"/>
        <v>7553.4000000000005</v>
      </c>
      <c r="U47" s="67">
        <f t="shared" si="51"/>
        <v>8962.246000000001</v>
      </c>
      <c r="V47" s="63">
        <f t="shared" si="51"/>
        <v>8051.1409999999996</v>
      </c>
      <c r="W47" s="63">
        <f t="shared" si="51"/>
        <v>8844.8909999999996</v>
      </c>
      <c r="X47" s="63">
        <f t="shared" si="51"/>
        <v>7543.7790000000005</v>
      </c>
      <c r="Y47" s="63">
        <f t="shared" si="51"/>
        <v>5463.5459999999994</v>
      </c>
      <c r="Z47" s="63">
        <f t="shared" si="51"/>
        <v>6865.7</v>
      </c>
      <c r="AA47" s="63">
        <f t="shared" si="51"/>
        <v>0</v>
      </c>
      <c r="AB47" s="63">
        <f t="shared" si="51"/>
        <v>6395.5429999999997</v>
      </c>
      <c r="AC47" s="63">
        <f t="shared" si="51"/>
        <v>0</v>
      </c>
      <c r="AD47" s="63">
        <f t="shared" si="51"/>
        <v>6402.7160000000003</v>
      </c>
      <c r="AE47" s="63">
        <f t="shared" si="51"/>
        <v>0</v>
      </c>
      <c r="AF47" s="63">
        <f t="shared" si="51"/>
        <v>2870.96</v>
      </c>
      <c r="AG47" s="63">
        <f t="shared" si="51"/>
        <v>0</v>
      </c>
      <c r="AH47" s="423" t="s">
        <v>394</v>
      </c>
      <c r="AI47" s="20"/>
    </row>
    <row r="48" spans="1:35" s="22" customFormat="1" ht="33.75" customHeight="1" x14ac:dyDescent="0.25">
      <c r="A48" s="532"/>
      <c r="B48" s="535"/>
      <c r="C48" s="126" t="s">
        <v>21</v>
      </c>
      <c r="D48" s="74">
        <f>SUM(J48,L48,N48,P48,R48,T48,V48,X48,Z48,AB48,AD48,AF48)</f>
        <v>81207.997999999992</v>
      </c>
      <c r="E48" s="62">
        <f>J48+L48+N48+P48+R48+T48+V48+X48</f>
        <v>59520.299999999996</v>
      </c>
      <c r="F48" s="62">
        <f>G48</f>
        <v>52162.873</v>
      </c>
      <c r="G48" s="62">
        <f>SUM(K48,M48,O48,Q48,S48,U48,W48,Y48,AA48,AC48,AE48,AG48)</f>
        <v>52162.873</v>
      </c>
      <c r="H48" s="62">
        <f>IFERROR(G48/D48*100,0)</f>
        <v>64.23366452156597</v>
      </c>
      <c r="I48" s="62">
        <f>IFERROR(G48/E48*100,0)</f>
        <v>87.63879382328382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0</v>
      </c>
      <c r="AB48" s="63">
        <v>6198.902</v>
      </c>
      <c r="AC48" s="63">
        <v>0</v>
      </c>
      <c r="AD48" s="63">
        <v>6093.9660000000003</v>
      </c>
      <c r="AE48" s="63">
        <v>0</v>
      </c>
      <c r="AF48" s="63">
        <v>2633.93</v>
      </c>
      <c r="AG48" s="63">
        <v>0</v>
      </c>
      <c r="AH48" s="64"/>
      <c r="AI48" s="20"/>
    </row>
    <row r="49" spans="1:35" s="22" customFormat="1" ht="28.5" customHeight="1" x14ac:dyDescent="0.25">
      <c r="A49" s="533"/>
      <c r="B49" s="536"/>
      <c r="C49" s="126" t="s">
        <v>113</v>
      </c>
      <c r="D49" s="74">
        <f>SUM(J49,L49,N49,P49,R49,T49,V49,X49,Z49,AB49,AD49,AF49)</f>
        <v>3466.3790000000008</v>
      </c>
      <c r="E49" s="62">
        <f>J49+L49+N49+P49+R49+T49+V49+X49</f>
        <v>2619.1580000000004</v>
      </c>
      <c r="F49" s="62">
        <f>G49</f>
        <v>2218.625</v>
      </c>
      <c r="G49" s="62">
        <f>SUM(K49,M49,O49,Q49,S49,U49,W49,Y49,AA49,AC49,AE49,AG49)</f>
        <v>2218.625</v>
      </c>
      <c r="H49" s="62">
        <f>IFERROR(G49/D49*100,0)</f>
        <v>64.004109187137331</v>
      </c>
      <c r="I49" s="62">
        <f>IFERROR(G49/E49*100,0)</f>
        <v>84.707566324750161</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0</v>
      </c>
      <c r="AB49" s="63">
        <v>196.64099999999999</v>
      </c>
      <c r="AC49" s="63">
        <v>0</v>
      </c>
      <c r="AD49" s="63">
        <v>308.75</v>
      </c>
      <c r="AE49" s="63">
        <v>0</v>
      </c>
      <c r="AF49" s="63">
        <v>237.03</v>
      </c>
      <c r="AG49" s="63">
        <v>0</v>
      </c>
      <c r="AH49" s="380" t="s">
        <v>374</v>
      </c>
      <c r="AI49" s="20"/>
    </row>
    <row r="50" spans="1:35" s="22" customFormat="1" ht="30.75" customHeight="1" x14ac:dyDescent="0.25">
      <c r="A50" s="117"/>
      <c r="B50" s="530" t="s">
        <v>126</v>
      </c>
      <c r="C50" s="126" t="s">
        <v>20</v>
      </c>
      <c r="D50" s="74">
        <f t="shared" ref="D50:E50" si="52">D51</f>
        <v>314.7</v>
      </c>
      <c r="E50" s="62">
        <f t="shared" si="52"/>
        <v>314.7</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74">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423" t="s">
        <v>391</v>
      </c>
      <c r="AI50" s="20"/>
    </row>
    <row r="51" spans="1:35" s="22" customFormat="1" ht="37.5" customHeight="1" x14ac:dyDescent="0.25">
      <c r="A51" s="117"/>
      <c r="B51" s="530"/>
      <c r="C51" s="126" t="s">
        <v>21</v>
      </c>
      <c r="D51" s="74">
        <f t="shared" ref="D51" si="57">SUM(J51,L51,N51,P51,R51,T51,V51,X51,Z51,AB51,AD51,AF51)</f>
        <v>314.7</v>
      </c>
      <c r="E51" s="62">
        <f>J51+L51+N51+P51+R51+T51+V51+X51</f>
        <v>314.7</v>
      </c>
      <c r="F51" s="62">
        <f t="shared" si="53"/>
        <v>0</v>
      </c>
      <c r="G51" s="62">
        <f t="shared" ref="G51" si="58">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530" t="s">
        <v>127</v>
      </c>
      <c r="C52" s="126" t="s">
        <v>20</v>
      </c>
      <c r="D52" s="74">
        <f t="shared" ref="D52:E52" si="59">D53</f>
        <v>75.599999999999994</v>
      </c>
      <c r="E52" s="62">
        <f t="shared" si="59"/>
        <v>75.599999999999994</v>
      </c>
      <c r="F52" s="62">
        <f t="shared" si="53"/>
        <v>0</v>
      </c>
      <c r="G52" s="62">
        <f>G53</f>
        <v>0</v>
      </c>
      <c r="H52" s="62">
        <f t="shared" si="54"/>
        <v>0</v>
      </c>
      <c r="I52" s="62">
        <f t="shared" si="55"/>
        <v>0</v>
      </c>
      <c r="J52" s="62">
        <f t="shared" ref="J52:AG52" si="60">J53</f>
        <v>0</v>
      </c>
      <c r="K52" s="62">
        <f t="shared" si="60"/>
        <v>0</v>
      </c>
      <c r="L52" s="62">
        <f t="shared" si="60"/>
        <v>0</v>
      </c>
      <c r="M52" s="62">
        <f t="shared" si="60"/>
        <v>0</v>
      </c>
      <c r="N52" s="62">
        <f t="shared" si="60"/>
        <v>0</v>
      </c>
      <c r="O52" s="62">
        <f t="shared" si="60"/>
        <v>0</v>
      </c>
      <c r="P52" s="62">
        <f t="shared" si="60"/>
        <v>0</v>
      </c>
      <c r="Q52" s="62">
        <f t="shared" si="60"/>
        <v>0</v>
      </c>
      <c r="R52" s="62">
        <f t="shared" si="60"/>
        <v>75.599999999999994</v>
      </c>
      <c r="S52" s="62">
        <f t="shared" si="60"/>
        <v>0</v>
      </c>
      <c r="T52" s="62">
        <f t="shared" si="60"/>
        <v>0</v>
      </c>
      <c r="U52" s="74">
        <f t="shared" si="60"/>
        <v>0</v>
      </c>
      <c r="V52" s="62">
        <f t="shared" si="60"/>
        <v>0</v>
      </c>
      <c r="W52" s="62">
        <f t="shared" si="60"/>
        <v>0</v>
      </c>
      <c r="X52" s="62">
        <f t="shared" si="60"/>
        <v>0</v>
      </c>
      <c r="Y52" s="62">
        <f t="shared" si="60"/>
        <v>0</v>
      </c>
      <c r="Z52" s="62">
        <f t="shared" si="60"/>
        <v>0</v>
      </c>
      <c r="AA52" s="62">
        <f t="shared" si="60"/>
        <v>0</v>
      </c>
      <c r="AB52" s="62">
        <f t="shared" si="60"/>
        <v>0</v>
      </c>
      <c r="AC52" s="62">
        <f t="shared" si="60"/>
        <v>0</v>
      </c>
      <c r="AD52" s="62">
        <f t="shared" si="60"/>
        <v>0</v>
      </c>
      <c r="AE52" s="62">
        <f t="shared" si="60"/>
        <v>0</v>
      </c>
      <c r="AF52" s="62">
        <f t="shared" si="60"/>
        <v>0</v>
      </c>
      <c r="AG52" s="62">
        <f t="shared" si="60"/>
        <v>0</v>
      </c>
      <c r="AH52" s="423" t="s">
        <v>392</v>
      </c>
      <c r="AI52" s="20"/>
    </row>
    <row r="53" spans="1:35" s="22" customFormat="1" ht="37.5" customHeight="1" x14ac:dyDescent="0.25">
      <c r="A53" s="116"/>
      <c r="B53" s="530"/>
      <c r="C53" s="126" t="s">
        <v>21</v>
      </c>
      <c r="D53" s="74">
        <f t="shared" ref="D53" si="61">SUM(J53,L53,N53,P53,R53,T53,V53,X53,Z53,AB53,AD53,AF53)</f>
        <v>75.599999999999994</v>
      </c>
      <c r="E53" s="62">
        <f>J53+L53+N53+P53+R53+T53+V53+X53</f>
        <v>75.599999999999994</v>
      </c>
      <c r="F53" s="62">
        <f t="shared" si="53"/>
        <v>0</v>
      </c>
      <c r="G53" s="62">
        <f t="shared" ref="G53" si="62">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530" t="s">
        <v>128</v>
      </c>
      <c r="C54" s="125" t="s">
        <v>20</v>
      </c>
      <c r="D54" s="74">
        <f t="shared" ref="D54:E54" si="63">D55</f>
        <v>500</v>
      </c>
      <c r="E54" s="62">
        <f t="shared" si="63"/>
        <v>500</v>
      </c>
      <c r="F54" s="62">
        <f t="shared" si="53"/>
        <v>358.56</v>
      </c>
      <c r="G54" s="62">
        <f>G55</f>
        <v>358.56</v>
      </c>
      <c r="H54" s="62">
        <f t="shared" si="54"/>
        <v>71.712000000000003</v>
      </c>
      <c r="I54" s="62">
        <f t="shared" si="55"/>
        <v>71.712000000000003</v>
      </c>
      <c r="J54" s="62">
        <f t="shared" ref="J54:AG54" si="64">J55</f>
        <v>0</v>
      </c>
      <c r="K54" s="62">
        <f t="shared" si="64"/>
        <v>0</v>
      </c>
      <c r="L54" s="62">
        <f t="shared" si="64"/>
        <v>0</v>
      </c>
      <c r="M54" s="62">
        <f t="shared" si="64"/>
        <v>0</v>
      </c>
      <c r="N54" s="62">
        <f t="shared" si="64"/>
        <v>174.4</v>
      </c>
      <c r="O54" s="62">
        <f t="shared" si="64"/>
        <v>64.400000000000006</v>
      </c>
      <c r="P54" s="62">
        <f t="shared" si="64"/>
        <v>171.2</v>
      </c>
      <c r="Q54" s="62">
        <f t="shared" si="64"/>
        <v>134.19999999999999</v>
      </c>
      <c r="R54" s="62">
        <f t="shared" si="64"/>
        <v>0</v>
      </c>
      <c r="S54" s="62">
        <f t="shared" si="64"/>
        <v>76.959999999999994</v>
      </c>
      <c r="T54" s="62">
        <f t="shared" si="64"/>
        <v>0</v>
      </c>
      <c r="U54" s="74">
        <f t="shared" si="64"/>
        <v>0</v>
      </c>
      <c r="V54" s="62">
        <f t="shared" si="64"/>
        <v>0</v>
      </c>
      <c r="W54" s="62">
        <f t="shared" si="64"/>
        <v>0</v>
      </c>
      <c r="X54" s="62">
        <f t="shared" si="64"/>
        <v>154.4</v>
      </c>
      <c r="Y54" s="62">
        <f t="shared" si="64"/>
        <v>83</v>
      </c>
      <c r="Z54" s="62">
        <f t="shared" si="64"/>
        <v>0</v>
      </c>
      <c r="AA54" s="62">
        <f t="shared" si="64"/>
        <v>0</v>
      </c>
      <c r="AB54" s="62">
        <f t="shared" si="64"/>
        <v>0</v>
      </c>
      <c r="AC54" s="62">
        <f t="shared" si="64"/>
        <v>0</v>
      </c>
      <c r="AD54" s="62">
        <f t="shared" si="64"/>
        <v>0</v>
      </c>
      <c r="AE54" s="62">
        <f t="shared" si="64"/>
        <v>0</v>
      </c>
      <c r="AF54" s="62">
        <f t="shared" si="64"/>
        <v>0</v>
      </c>
      <c r="AG54" s="62">
        <f t="shared" si="64"/>
        <v>0</v>
      </c>
      <c r="AH54" s="423" t="s">
        <v>393</v>
      </c>
      <c r="AI54" s="20"/>
    </row>
    <row r="55" spans="1:35" s="22" customFormat="1" ht="37.5" customHeight="1" x14ac:dyDescent="0.25">
      <c r="A55" s="116"/>
      <c r="B55" s="530"/>
      <c r="C55" s="126" t="s">
        <v>21</v>
      </c>
      <c r="D55" s="74">
        <f t="shared" ref="D55" si="65">SUM(J55,L55,N55,P55,R55,T55,V55,X55,Z55,AB55,AD55,AF55)</f>
        <v>500</v>
      </c>
      <c r="E55" s="62">
        <f>J55+L55+N55+P55+R55+T55+V55+X55</f>
        <v>500</v>
      </c>
      <c r="F55" s="62">
        <f t="shared" si="53"/>
        <v>358.56</v>
      </c>
      <c r="G55" s="62">
        <f t="shared" ref="G55" si="66">SUM(K55,M55,O55,Q55,S55,U55,W55,Y55,AA55,AC55,AE55,AG55)</f>
        <v>358.56</v>
      </c>
      <c r="H55" s="62">
        <f t="shared" si="54"/>
        <v>71.712000000000003</v>
      </c>
      <c r="I55" s="62">
        <f t="shared" si="55"/>
        <v>71.712000000000003</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0</v>
      </c>
      <c r="AB55" s="63">
        <v>0</v>
      </c>
      <c r="AC55" s="63">
        <v>0</v>
      </c>
      <c r="AD55" s="63">
        <v>0</v>
      </c>
      <c r="AE55" s="63">
        <v>0</v>
      </c>
      <c r="AF55" s="63">
        <v>0</v>
      </c>
      <c r="AG55" s="63">
        <v>0</v>
      </c>
      <c r="AH55" s="60"/>
      <c r="AI55" s="20"/>
    </row>
    <row r="56" spans="1:35" s="22" customFormat="1" ht="30.75" customHeight="1" x14ac:dyDescent="0.25">
      <c r="A56" s="116"/>
      <c r="B56" s="530" t="s">
        <v>129</v>
      </c>
      <c r="C56" s="125" t="s">
        <v>20</v>
      </c>
      <c r="D56" s="74">
        <f t="shared" ref="D56:E56" si="67">D57</f>
        <v>434.2</v>
      </c>
      <c r="E56" s="62">
        <f t="shared" si="67"/>
        <v>434.2</v>
      </c>
      <c r="F56" s="62">
        <f t="shared" si="53"/>
        <v>434.2</v>
      </c>
      <c r="G56" s="62">
        <f>G57</f>
        <v>434.2</v>
      </c>
      <c r="H56" s="62">
        <f t="shared" si="54"/>
        <v>100</v>
      </c>
      <c r="I56" s="62">
        <f t="shared" si="55"/>
        <v>100</v>
      </c>
      <c r="J56" s="62">
        <f t="shared" ref="J56:AG56" si="68">J57</f>
        <v>0</v>
      </c>
      <c r="K56" s="62">
        <f t="shared" si="68"/>
        <v>0</v>
      </c>
      <c r="L56" s="62">
        <f t="shared" si="68"/>
        <v>0</v>
      </c>
      <c r="M56" s="62">
        <f t="shared" si="68"/>
        <v>0</v>
      </c>
      <c r="N56" s="62">
        <f t="shared" si="68"/>
        <v>0</v>
      </c>
      <c r="O56" s="62">
        <f t="shared" si="68"/>
        <v>0</v>
      </c>
      <c r="P56" s="62">
        <f t="shared" si="68"/>
        <v>434.2</v>
      </c>
      <c r="Q56" s="62">
        <f t="shared" si="68"/>
        <v>195</v>
      </c>
      <c r="R56" s="62">
        <f t="shared" si="68"/>
        <v>0</v>
      </c>
      <c r="S56" s="62">
        <f t="shared" si="68"/>
        <v>105</v>
      </c>
      <c r="T56" s="62">
        <f t="shared" si="68"/>
        <v>0</v>
      </c>
      <c r="U56" s="74">
        <f t="shared" si="68"/>
        <v>0</v>
      </c>
      <c r="V56" s="62">
        <f t="shared" si="68"/>
        <v>0</v>
      </c>
      <c r="W56" s="62">
        <f t="shared" si="68"/>
        <v>134.19999999999999</v>
      </c>
      <c r="X56" s="62">
        <f t="shared" si="68"/>
        <v>0</v>
      </c>
      <c r="Y56" s="62">
        <f t="shared" si="68"/>
        <v>0</v>
      </c>
      <c r="Z56" s="62">
        <f t="shared" si="68"/>
        <v>0</v>
      </c>
      <c r="AA56" s="62">
        <f t="shared" si="68"/>
        <v>0</v>
      </c>
      <c r="AB56" s="62">
        <f t="shared" si="68"/>
        <v>0</v>
      </c>
      <c r="AC56" s="62">
        <f t="shared" si="68"/>
        <v>0</v>
      </c>
      <c r="AD56" s="62">
        <f t="shared" si="68"/>
        <v>0</v>
      </c>
      <c r="AE56" s="62">
        <f t="shared" si="68"/>
        <v>0</v>
      </c>
      <c r="AF56" s="62">
        <f t="shared" si="68"/>
        <v>0</v>
      </c>
      <c r="AG56" s="62">
        <f t="shared" si="68"/>
        <v>0</v>
      </c>
      <c r="AH56" s="60"/>
      <c r="AI56" s="20"/>
    </row>
    <row r="57" spans="1:35" s="22" customFormat="1" ht="37.5" customHeight="1" x14ac:dyDescent="0.25">
      <c r="A57" s="116"/>
      <c r="B57" s="530"/>
      <c r="C57" s="126" t="s">
        <v>21</v>
      </c>
      <c r="D57" s="74">
        <f t="shared" ref="D57" si="69">SUM(J57,L57,N57,P57,R57,T57,V57,X57,Z57,AB57,AD57,AF57)</f>
        <v>434.2</v>
      </c>
      <c r="E57" s="62">
        <f>J57+L57+N57+P57+R57+T57+V57+X57</f>
        <v>434.2</v>
      </c>
      <c r="F57" s="62">
        <f t="shared" si="53"/>
        <v>434.2</v>
      </c>
      <c r="G57" s="62">
        <f t="shared" ref="G57" si="70">SUM(K57,M57,O57,Q57,S57,U57,W57,Y57,AA57,AC57,AE57,AG57)</f>
        <v>434.2</v>
      </c>
      <c r="H57" s="62">
        <f t="shared" si="54"/>
        <v>100</v>
      </c>
      <c r="I57" s="62">
        <f t="shared" si="55"/>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300" t="s">
        <v>375</v>
      </c>
      <c r="AI57" s="20"/>
    </row>
    <row r="58" spans="1:35" s="22" customFormat="1" ht="23.25" customHeight="1" x14ac:dyDescent="0.25">
      <c r="A58" s="531"/>
      <c r="B58" s="534" t="s">
        <v>130</v>
      </c>
      <c r="C58" s="126" t="s">
        <v>20</v>
      </c>
      <c r="D58" s="74">
        <f>D60+D59</f>
        <v>191256.30000000002</v>
      </c>
      <c r="E58" s="62">
        <f t="shared" ref="E58:G58" si="71">E60+E59</f>
        <v>129931.156</v>
      </c>
      <c r="F58" s="62">
        <f t="shared" si="71"/>
        <v>41653.899999999994</v>
      </c>
      <c r="G58" s="62">
        <f t="shared" si="71"/>
        <v>139679.91899999999</v>
      </c>
      <c r="H58" s="62">
        <f t="shared" si="54"/>
        <v>73.032845976838402</v>
      </c>
      <c r="I58" s="62">
        <f t="shared" si="55"/>
        <v>107.50302183103797</v>
      </c>
      <c r="J58" s="63">
        <f>J60+J59</f>
        <v>10957.522000000001</v>
      </c>
      <c r="K58" s="63">
        <f t="shared" ref="K58:AG58" si="72">K60+K59</f>
        <v>5503.4949999999999</v>
      </c>
      <c r="L58" s="63">
        <f t="shared" si="72"/>
        <v>18593.322</v>
      </c>
      <c r="M58" s="63">
        <f t="shared" si="72"/>
        <v>14242.234</v>
      </c>
      <c r="N58" s="63">
        <f t="shared" si="72"/>
        <v>12103.047999999999</v>
      </c>
      <c r="O58" s="63">
        <f t="shared" si="72"/>
        <v>13444.807999999999</v>
      </c>
      <c r="P58" s="63">
        <f t="shared" si="72"/>
        <v>20584.542000000001</v>
      </c>
      <c r="Q58" s="63">
        <f t="shared" si="72"/>
        <v>16486.292000000001</v>
      </c>
      <c r="R58" s="63">
        <f t="shared" si="72"/>
        <v>16321.293</v>
      </c>
      <c r="S58" s="63">
        <f t="shared" si="72"/>
        <v>14191.099</v>
      </c>
      <c r="T58" s="63">
        <f t="shared" si="72"/>
        <v>17898.165000000001</v>
      </c>
      <c r="U58" s="67">
        <f t="shared" si="72"/>
        <v>19324.252</v>
      </c>
      <c r="V58" s="63">
        <f t="shared" si="72"/>
        <v>20491.98</v>
      </c>
      <c r="W58" s="63">
        <f t="shared" si="72"/>
        <v>20423.498000000003</v>
      </c>
      <c r="X58" s="63">
        <f t="shared" si="72"/>
        <v>12981.284</v>
      </c>
      <c r="Y58" s="63">
        <f t="shared" si="72"/>
        <v>9521.3319999999985</v>
      </c>
      <c r="Z58" s="63">
        <f t="shared" si="72"/>
        <v>12288.455</v>
      </c>
      <c r="AA58" s="63">
        <f t="shared" si="72"/>
        <v>11425.767</v>
      </c>
      <c r="AB58" s="63">
        <f t="shared" si="72"/>
        <v>15970.16</v>
      </c>
      <c r="AC58" s="63">
        <f t="shared" si="72"/>
        <v>15117.142</v>
      </c>
      <c r="AD58" s="63">
        <f t="shared" si="72"/>
        <v>12661.468999999999</v>
      </c>
      <c r="AE58" s="63">
        <f t="shared" si="72"/>
        <v>0</v>
      </c>
      <c r="AF58" s="63">
        <f t="shared" si="72"/>
        <v>20405.060000000001</v>
      </c>
      <c r="AG58" s="63">
        <f t="shared" si="72"/>
        <v>0</v>
      </c>
      <c r="AH58" s="64"/>
      <c r="AI58" s="20"/>
    </row>
    <row r="59" spans="1:35" s="22" customFormat="1" ht="63" customHeight="1" x14ac:dyDescent="0.25">
      <c r="A59" s="532"/>
      <c r="B59" s="535"/>
      <c r="C59" s="126" t="s">
        <v>21</v>
      </c>
      <c r="D59" s="74">
        <f>SUM(J59,L59,N59,P59,R59,T59,V59,X59,Z59,AB59,AD59,AF59)</f>
        <v>168656.30300000001</v>
      </c>
      <c r="E59" s="62">
        <f>J59+L59+N59+P59+R59+T59+V59+X59</f>
        <v>114190.997</v>
      </c>
      <c r="F59" s="62">
        <v>35807.019999999997</v>
      </c>
      <c r="G59" s="62">
        <f>SUM(K59,M59,O59,Q59,S59,U59,W59,Y59,AA59,AC59,AE59,AG59)</f>
        <v>126005.197</v>
      </c>
      <c r="H59" s="62">
        <f>IFERROR(G59/D59*100,0)</f>
        <v>74.711229143923546</v>
      </c>
      <c r="I59" s="62">
        <f>IFERROR(G59/E59*100,0)</f>
        <v>110.3459995186836</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308" t="s">
        <v>450</v>
      </c>
      <c r="AI59" s="20"/>
    </row>
    <row r="60" spans="1:35" s="22" customFormat="1" ht="60.75" customHeight="1" x14ac:dyDescent="0.25">
      <c r="A60" s="533"/>
      <c r="B60" s="536"/>
      <c r="C60" s="126" t="s">
        <v>113</v>
      </c>
      <c r="D60" s="74">
        <f>SUM(J60,L60,N60,P60,R60,T60,V60,X60,Z60,AB60,AD60,AF60)</f>
        <v>22599.996999999999</v>
      </c>
      <c r="E60" s="62">
        <f>J60+L60+N60+P60+R60+T60+V60+X60</f>
        <v>15740.159</v>
      </c>
      <c r="F60" s="62">
        <v>5846.88</v>
      </c>
      <c r="G60" s="62">
        <f>SUM(K60,M60,O60,Q60,S60,U60,W60,Y60,AA60,AC60,AE60,AG60)</f>
        <v>13674.721999999998</v>
      </c>
      <c r="H60" s="62">
        <f>IFERROR(G60/D60*100,0)</f>
        <v>60.507627501012493</v>
      </c>
      <c r="I60" s="62">
        <f>IFERROR(G60/E60*100,0)</f>
        <v>86.87791527391812</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507" t="s">
        <v>449</v>
      </c>
      <c r="AI60" s="20"/>
    </row>
    <row r="61" spans="1:35" s="22" customFormat="1" ht="99.75" customHeight="1" x14ac:dyDescent="0.25">
      <c r="A61" s="116"/>
      <c r="B61" s="530" t="s">
        <v>131</v>
      </c>
      <c r="C61" s="125" t="s">
        <v>20</v>
      </c>
      <c r="D61" s="74">
        <f t="shared" ref="D61:E61" si="73">D62</f>
        <v>16433.2</v>
      </c>
      <c r="E61" s="62">
        <f t="shared" si="73"/>
        <v>9043.1610000000001</v>
      </c>
      <c r="F61" s="62" t="e">
        <f t="shared" ref="F61:F64" si="74">G61</f>
        <v>#REF!</v>
      </c>
      <c r="G61" s="62" t="e">
        <f>G62</f>
        <v>#REF!</v>
      </c>
      <c r="H61" s="62">
        <f t="shared" ref="H61:H67" si="75">IFERROR(G61/D61*100,0)</f>
        <v>0</v>
      </c>
      <c r="I61" s="62">
        <f t="shared" ref="I61:I67" si="76">IFERROR(G61/E61*100,0)</f>
        <v>0</v>
      </c>
      <c r="J61" s="62">
        <f t="shared" ref="J61:AG61" si="77">J62</f>
        <v>1197.434</v>
      </c>
      <c r="K61" s="62">
        <f t="shared" si="77"/>
        <v>464.17700000000002</v>
      </c>
      <c r="L61" s="62">
        <f t="shared" si="77"/>
        <v>1047.287</v>
      </c>
      <c r="M61" s="62">
        <f t="shared" si="77"/>
        <v>1546.6980000000001</v>
      </c>
      <c r="N61" s="62">
        <f t="shared" si="77"/>
        <v>782.82799999999997</v>
      </c>
      <c r="O61" s="62">
        <f t="shared" si="77"/>
        <v>575.976</v>
      </c>
      <c r="P61" s="62">
        <f t="shared" si="77"/>
        <v>1332.6479999999999</v>
      </c>
      <c r="Q61" s="62">
        <f t="shared" si="77"/>
        <v>1432.7929999999999</v>
      </c>
      <c r="R61" s="62">
        <f t="shared" si="77"/>
        <v>888.12900000000002</v>
      </c>
      <c r="S61" s="62">
        <f t="shared" si="77"/>
        <v>939.99900000000002</v>
      </c>
      <c r="T61" s="62">
        <f t="shared" si="77"/>
        <v>439.42200000000003</v>
      </c>
      <c r="U61" s="74">
        <f t="shared" si="77"/>
        <v>379.916</v>
      </c>
      <c r="V61" s="62">
        <f t="shared" si="77"/>
        <v>1740.9</v>
      </c>
      <c r="W61" s="62">
        <f t="shared" si="77"/>
        <v>408.416</v>
      </c>
      <c r="X61" s="62">
        <f t="shared" si="77"/>
        <v>1614.5129999999999</v>
      </c>
      <c r="Y61" s="62">
        <f t="shared" si="77"/>
        <v>0</v>
      </c>
      <c r="Z61" s="62">
        <f t="shared" si="77"/>
        <v>5999.3559999999998</v>
      </c>
      <c r="AA61" s="62">
        <f t="shared" si="77"/>
        <v>0</v>
      </c>
      <c r="AB61" s="62">
        <f t="shared" si="77"/>
        <v>35.975999999999999</v>
      </c>
      <c r="AC61" s="62" t="e">
        <f>AC62</f>
        <v>#REF!</v>
      </c>
      <c r="AD61" s="62">
        <f t="shared" si="77"/>
        <v>16.399999999999999</v>
      </c>
      <c r="AE61" s="62">
        <f t="shared" si="77"/>
        <v>0</v>
      </c>
      <c r="AF61" s="62">
        <f t="shared" si="77"/>
        <v>1338.307</v>
      </c>
      <c r="AG61" s="62">
        <f t="shared" si="77"/>
        <v>0</v>
      </c>
      <c r="AH61" s="298" t="e">
        <f>[1]разв.кул.!$AF$18</f>
        <v>#REF!</v>
      </c>
      <c r="AI61" s="20"/>
    </row>
    <row r="62" spans="1:35" s="22" customFormat="1" ht="37.5" customHeight="1" x14ac:dyDescent="0.25">
      <c r="A62" s="116"/>
      <c r="B62" s="530"/>
      <c r="C62" s="126" t="s">
        <v>21</v>
      </c>
      <c r="D62" s="74">
        <f t="shared" ref="D62" si="78">SUM(J62,L62,N62,P62,R62,T62,V62,X62,Z62,AB62,AD62,AF62)</f>
        <v>16433.2</v>
      </c>
      <c r="E62" s="62">
        <f>J62+L62+N62+P62+R62+T62+V62+X62</f>
        <v>9043.1610000000001</v>
      </c>
      <c r="F62" s="62" t="e">
        <f t="shared" si="74"/>
        <v>#REF!</v>
      </c>
      <c r="G62" s="62" t="e">
        <f>SUM(K62,M62,O62,Q62,S62,U62,W62,Y62,AA62,AC62,AE62,AG62)</f>
        <v>#REF!</v>
      </c>
      <c r="H62" s="62">
        <f t="shared" si="75"/>
        <v>0</v>
      </c>
      <c r="I62" s="62">
        <f t="shared" si="76"/>
        <v>0</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t="e">
        <f>[1]разв.кул.!$AA$21</f>
        <v>#REF!</v>
      </c>
      <c r="AD62" s="63">
        <v>16.399999999999999</v>
      </c>
      <c r="AE62" s="63">
        <v>0</v>
      </c>
      <c r="AF62" s="63">
        <v>1338.307</v>
      </c>
      <c r="AG62" s="63">
        <v>0</v>
      </c>
      <c r="AH62" s="296"/>
      <c r="AI62" s="20"/>
    </row>
    <row r="63" spans="1:35" s="22" customFormat="1" ht="30.75" customHeight="1" x14ac:dyDescent="0.25">
      <c r="A63" s="116"/>
      <c r="B63" s="530" t="s">
        <v>132</v>
      </c>
      <c r="C63" s="125" t="s">
        <v>20</v>
      </c>
      <c r="D63" s="74">
        <f t="shared" ref="D63:E63" si="79">D64</f>
        <v>50</v>
      </c>
      <c r="E63" s="62">
        <f t="shared" si="79"/>
        <v>0</v>
      </c>
      <c r="F63" s="62">
        <f t="shared" si="74"/>
        <v>0</v>
      </c>
      <c r="G63" s="62">
        <f>G64</f>
        <v>0</v>
      </c>
      <c r="H63" s="62">
        <f t="shared" si="75"/>
        <v>0</v>
      </c>
      <c r="I63" s="62">
        <f t="shared" si="76"/>
        <v>0</v>
      </c>
      <c r="J63" s="62">
        <f t="shared" ref="J63:AG63" si="80">J64</f>
        <v>0</v>
      </c>
      <c r="K63" s="62">
        <f t="shared" si="80"/>
        <v>0</v>
      </c>
      <c r="L63" s="62">
        <f t="shared" si="80"/>
        <v>0</v>
      </c>
      <c r="M63" s="62">
        <f t="shared" si="80"/>
        <v>0</v>
      </c>
      <c r="N63" s="62">
        <f t="shared" si="80"/>
        <v>0</v>
      </c>
      <c r="O63" s="62">
        <f t="shared" si="80"/>
        <v>0</v>
      </c>
      <c r="P63" s="62">
        <f t="shared" si="80"/>
        <v>0</v>
      </c>
      <c r="Q63" s="62">
        <f t="shared" si="80"/>
        <v>0</v>
      </c>
      <c r="R63" s="62">
        <f t="shared" si="80"/>
        <v>0</v>
      </c>
      <c r="S63" s="62">
        <f t="shared" si="80"/>
        <v>0</v>
      </c>
      <c r="T63" s="62">
        <f t="shared" si="80"/>
        <v>0</v>
      </c>
      <c r="U63" s="74">
        <f t="shared" si="80"/>
        <v>0</v>
      </c>
      <c r="V63" s="62">
        <f t="shared" si="80"/>
        <v>0</v>
      </c>
      <c r="W63" s="62">
        <f t="shared" si="80"/>
        <v>0</v>
      </c>
      <c r="X63" s="62">
        <f t="shared" si="80"/>
        <v>0</v>
      </c>
      <c r="Y63" s="62">
        <f t="shared" si="80"/>
        <v>0</v>
      </c>
      <c r="Z63" s="62">
        <f t="shared" si="80"/>
        <v>0</v>
      </c>
      <c r="AA63" s="62">
        <f t="shared" si="80"/>
        <v>0</v>
      </c>
      <c r="AB63" s="62">
        <f t="shared" si="80"/>
        <v>0</v>
      </c>
      <c r="AC63" s="62">
        <f t="shared" si="80"/>
        <v>0</v>
      </c>
      <c r="AD63" s="62">
        <f t="shared" si="80"/>
        <v>50</v>
      </c>
      <c r="AE63" s="62">
        <f t="shared" si="80"/>
        <v>0</v>
      </c>
      <c r="AF63" s="62">
        <f t="shared" si="80"/>
        <v>0</v>
      </c>
      <c r="AG63" s="62">
        <f t="shared" si="80"/>
        <v>0</v>
      </c>
      <c r="AH63" s="296"/>
      <c r="AI63" s="20"/>
    </row>
    <row r="64" spans="1:35" s="22" customFormat="1" ht="37.5" customHeight="1" x14ac:dyDescent="0.25">
      <c r="A64" s="116"/>
      <c r="B64" s="530"/>
      <c r="C64" s="126" t="s">
        <v>21</v>
      </c>
      <c r="D64" s="74">
        <f t="shared" ref="D64" si="81">SUM(J64,L64,N64,P64,R64,T64,V64,X64,Z64,AB64,AD64,AF64)</f>
        <v>50</v>
      </c>
      <c r="E64" s="62">
        <f t="shared" ref="E64" si="82">J64</f>
        <v>0</v>
      </c>
      <c r="F64" s="62">
        <f t="shared" si="74"/>
        <v>0</v>
      </c>
      <c r="G64" s="62">
        <f t="shared" ref="G64" si="83">SUM(K64,M64,O64,Q64,S64,U64,W64,Y64,AA64,AC64,AE64,AG64)</f>
        <v>0</v>
      </c>
      <c r="H64" s="62">
        <f t="shared" si="75"/>
        <v>0</v>
      </c>
      <c r="I64" s="62">
        <f t="shared" si="76"/>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0</v>
      </c>
      <c r="AF64" s="63">
        <v>0</v>
      </c>
      <c r="AG64" s="63">
        <v>0</v>
      </c>
      <c r="AH64" s="297"/>
      <c r="AI64" s="20"/>
    </row>
    <row r="65" spans="1:35" s="22" customFormat="1" ht="108" customHeight="1" x14ac:dyDescent="0.25">
      <c r="A65" s="280"/>
      <c r="B65" s="281" t="s">
        <v>330</v>
      </c>
      <c r="C65" s="284" t="s">
        <v>20</v>
      </c>
      <c r="D65" s="74">
        <f>D66</f>
        <v>193384.09999999998</v>
      </c>
      <c r="E65" s="62">
        <f>E66</f>
        <v>125752.12</v>
      </c>
      <c r="F65" s="62">
        <f>G65</f>
        <v>128032.55899999999</v>
      </c>
      <c r="G65" s="62">
        <f>G66</f>
        <v>128032.55899999999</v>
      </c>
      <c r="H65" s="62">
        <f>IFERROR(G65/D65*100,0)</f>
        <v>66.206352538807494</v>
      </c>
      <c r="I65" s="62">
        <f>IFERROR(G65/E65*100,0)</f>
        <v>101.81343980522952</v>
      </c>
      <c r="J65" s="62">
        <f t="shared" ref="J65:AG65" si="84">J66</f>
        <v>0</v>
      </c>
      <c r="K65" s="62">
        <f t="shared" si="84"/>
        <v>0</v>
      </c>
      <c r="L65" s="62">
        <f t="shared" si="84"/>
        <v>0</v>
      </c>
      <c r="M65" s="62">
        <f t="shared" si="84"/>
        <v>0</v>
      </c>
      <c r="N65" s="62">
        <f t="shared" si="84"/>
        <v>125752.12</v>
      </c>
      <c r="O65" s="62">
        <f t="shared" si="84"/>
        <v>75768</v>
      </c>
      <c r="P65" s="62">
        <f t="shared" si="84"/>
        <v>9404.0730000000003</v>
      </c>
      <c r="Q65" s="62">
        <f t="shared" si="84"/>
        <v>1572.81</v>
      </c>
      <c r="R65" s="62">
        <f>R66</f>
        <v>377.54700000000003</v>
      </c>
      <c r="S65" s="74">
        <f>S66</f>
        <v>5081.58</v>
      </c>
      <c r="T65" s="62">
        <f t="shared" si="84"/>
        <v>6606.5460000000003</v>
      </c>
      <c r="U65" s="74">
        <f t="shared" si="84"/>
        <v>6687.75</v>
      </c>
      <c r="V65" s="62">
        <f t="shared" si="84"/>
        <v>24935.491999999998</v>
      </c>
      <c r="W65" s="62">
        <f t="shared" si="84"/>
        <v>19142.143</v>
      </c>
      <c r="X65" s="62">
        <f t="shared" si="84"/>
        <v>23872</v>
      </c>
      <c r="Y65" s="62">
        <f t="shared" si="84"/>
        <v>19780.276000000002</v>
      </c>
      <c r="Z65" s="62">
        <f t="shared" si="84"/>
        <v>2436.3220000000001</v>
      </c>
      <c r="AA65" s="62">
        <f t="shared" si="84"/>
        <v>0</v>
      </c>
      <c r="AB65" s="62">
        <f t="shared" si="84"/>
        <v>0</v>
      </c>
      <c r="AC65" s="62">
        <f t="shared" si="84"/>
        <v>0</v>
      </c>
      <c r="AD65" s="62">
        <f t="shared" si="84"/>
        <v>0</v>
      </c>
      <c r="AE65" s="62">
        <f t="shared" si="84"/>
        <v>0</v>
      </c>
      <c r="AF65" s="62">
        <f t="shared" si="84"/>
        <v>0</v>
      </c>
      <c r="AG65" s="62">
        <f t="shared" si="84"/>
        <v>0</v>
      </c>
      <c r="AH65" s="308" t="s">
        <v>451</v>
      </c>
      <c r="AI65" s="20"/>
    </row>
    <row r="66" spans="1:35" s="22" customFormat="1" ht="50.25" customHeight="1" x14ac:dyDescent="0.25">
      <c r="A66" s="280"/>
      <c r="B66" s="283"/>
      <c r="C66" s="126" t="s">
        <v>21</v>
      </c>
      <c r="D66" s="74">
        <f>SUM(J66,L66,N66,P66,R66,T66,V66,X66,Z66,AB66,AD66,AF66)</f>
        <v>193384.09999999998</v>
      </c>
      <c r="E66" s="62">
        <f>J66+L66+N66</f>
        <v>125752.12</v>
      </c>
      <c r="F66" s="62">
        <v>128718.92</v>
      </c>
      <c r="G66" s="62">
        <f>SUM(K66,M66,O66,Q66,S66,U66,W66,Y66,AA66,AC66,AE66,AG66)</f>
        <v>128032.55899999999</v>
      </c>
      <c r="H66" s="62">
        <f>IFERROR(G66/D66*100,0)</f>
        <v>66.206352538807494</v>
      </c>
      <c r="I66" s="62">
        <f>IFERROR(G66/E66*100,0)</f>
        <v>101.81343980522952</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3">
        <v>0</v>
      </c>
      <c r="AB66" s="63">
        <v>0</v>
      </c>
      <c r="AC66" s="63">
        <v>0</v>
      </c>
      <c r="AD66" s="63">
        <v>0</v>
      </c>
      <c r="AE66" s="63">
        <v>0</v>
      </c>
      <c r="AF66" s="63">
        <v>0</v>
      </c>
      <c r="AG66" s="63">
        <v>0</v>
      </c>
      <c r="AH66" s="378"/>
      <c r="AI66" s="20"/>
    </row>
    <row r="67" spans="1:35" s="22" customFormat="1" ht="78.75" customHeight="1" x14ac:dyDescent="0.25">
      <c r="A67" s="520"/>
      <c r="B67" s="541" t="s">
        <v>133</v>
      </c>
      <c r="C67" s="125" t="s">
        <v>20</v>
      </c>
      <c r="D67" s="70">
        <f>D69+D68</f>
        <v>8991.7999999999993</v>
      </c>
      <c r="E67" s="58">
        <f t="shared" ref="E67:G67" si="85">E69+E68</f>
        <v>8991.7999999999993</v>
      </c>
      <c r="F67" s="58">
        <f t="shared" si="85"/>
        <v>8991.7999999999993</v>
      </c>
      <c r="G67" s="58">
        <f t="shared" si="85"/>
        <v>8991.7999999999993</v>
      </c>
      <c r="H67" s="58">
        <f t="shared" si="75"/>
        <v>100</v>
      </c>
      <c r="I67" s="58">
        <f t="shared" si="76"/>
        <v>100</v>
      </c>
      <c r="J67" s="59">
        <f>J69+J68</f>
        <v>8991.7999999999993</v>
      </c>
      <c r="K67" s="59">
        <f t="shared" ref="K67:AG67" si="86">K69+K68</f>
        <v>8991.7999999999993</v>
      </c>
      <c r="L67" s="59">
        <f t="shared" si="86"/>
        <v>0</v>
      </c>
      <c r="M67" s="59">
        <f t="shared" si="86"/>
        <v>0</v>
      </c>
      <c r="N67" s="59">
        <f t="shared" si="86"/>
        <v>0</v>
      </c>
      <c r="O67" s="59">
        <f t="shared" si="86"/>
        <v>0</v>
      </c>
      <c r="P67" s="59">
        <f t="shared" si="86"/>
        <v>0</v>
      </c>
      <c r="Q67" s="59">
        <f t="shared" si="86"/>
        <v>0</v>
      </c>
      <c r="R67" s="59">
        <f t="shared" si="86"/>
        <v>0</v>
      </c>
      <c r="S67" s="59">
        <f t="shared" si="86"/>
        <v>0</v>
      </c>
      <c r="T67" s="59">
        <f t="shared" si="86"/>
        <v>0</v>
      </c>
      <c r="U67" s="71">
        <f t="shared" si="86"/>
        <v>0</v>
      </c>
      <c r="V67" s="59">
        <f t="shared" si="86"/>
        <v>0</v>
      </c>
      <c r="W67" s="59">
        <f t="shared" si="86"/>
        <v>0</v>
      </c>
      <c r="X67" s="59">
        <f t="shared" si="86"/>
        <v>0</v>
      </c>
      <c r="Y67" s="59">
        <f t="shared" si="86"/>
        <v>0</v>
      </c>
      <c r="Z67" s="59">
        <f t="shared" si="86"/>
        <v>0</v>
      </c>
      <c r="AA67" s="59">
        <f t="shared" si="86"/>
        <v>0</v>
      </c>
      <c r="AB67" s="59">
        <f t="shared" si="86"/>
        <v>0</v>
      </c>
      <c r="AC67" s="59">
        <f t="shared" si="86"/>
        <v>0</v>
      </c>
      <c r="AD67" s="59">
        <f t="shared" si="86"/>
        <v>0</v>
      </c>
      <c r="AE67" s="59">
        <f t="shared" si="86"/>
        <v>0</v>
      </c>
      <c r="AF67" s="59">
        <f t="shared" si="86"/>
        <v>0</v>
      </c>
      <c r="AG67" s="59">
        <f t="shared" si="86"/>
        <v>0</v>
      </c>
      <c r="AH67" s="378"/>
      <c r="AI67" s="20"/>
    </row>
    <row r="68" spans="1:35" s="22" customFormat="1" ht="58.5" hidden="1" customHeight="1" x14ac:dyDescent="0.25">
      <c r="A68" s="520"/>
      <c r="B68" s="541"/>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79"/>
      <c r="AI68" s="20"/>
    </row>
    <row r="69" spans="1:35" s="22" customFormat="1" ht="75.75" customHeight="1" x14ac:dyDescent="0.25">
      <c r="A69" s="521"/>
      <c r="B69" s="541"/>
      <c r="C69" s="126" t="s">
        <v>21</v>
      </c>
      <c r="D69" s="74">
        <f>SUM(J69,L69,N69,P69,R69,T69,V69,X69,Z69,AB69,AD69,AF69)</f>
        <v>8991.7999999999993</v>
      </c>
      <c r="E69" s="62">
        <f>J69</f>
        <v>8991.7999999999993</v>
      </c>
      <c r="F69" s="62">
        <f>G69</f>
        <v>8991.7999999999993</v>
      </c>
      <c r="G69" s="62">
        <f t="shared" ref="G69:G71" si="87">SUM(K69,M69,O69,Q69,S69,U69,W69,Y69,AA69,AC69,AE69,AG69)</f>
        <v>8991.7999999999993</v>
      </c>
      <c r="H69" s="62">
        <f>IFERROR(G69/D69*100,0)</f>
        <v>100</v>
      </c>
      <c r="I69" s="62">
        <f>IFERROR(G69/E69*100,0)</f>
        <v>100</v>
      </c>
      <c r="J69" s="63">
        <f>J71+J73</f>
        <v>8991.7999999999993</v>
      </c>
      <c r="K69" s="63">
        <f t="shared" ref="K69:AG69" si="88">K71+K73</f>
        <v>8991.7999999999993</v>
      </c>
      <c r="L69" s="63">
        <f t="shared" si="88"/>
        <v>0</v>
      </c>
      <c r="M69" s="63">
        <f t="shared" si="88"/>
        <v>0</v>
      </c>
      <c r="N69" s="63">
        <f t="shared" si="88"/>
        <v>0</v>
      </c>
      <c r="O69" s="63">
        <f t="shared" si="88"/>
        <v>0</v>
      </c>
      <c r="P69" s="63">
        <f t="shared" si="88"/>
        <v>0</v>
      </c>
      <c r="Q69" s="63">
        <f t="shared" si="88"/>
        <v>0</v>
      </c>
      <c r="R69" s="63">
        <f t="shared" si="88"/>
        <v>0</v>
      </c>
      <c r="S69" s="63">
        <f t="shared" si="88"/>
        <v>0</v>
      </c>
      <c r="T69" s="63">
        <f t="shared" si="88"/>
        <v>0</v>
      </c>
      <c r="U69" s="67">
        <f t="shared" si="88"/>
        <v>0</v>
      </c>
      <c r="V69" s="63">
        <f t="shared" si="88"/>
        <v>0</v>
      </c>
      <c r="W69" s="63">
        <f t="shared" si="88"/>
        <v>0</v>
      </c>
      <c r="X69" s="63">
        <f t="shared" si="88"/>
        <v>0</v>
      </c>
      <c r="Y69" s="63">
        <f t="shared" si="88"/>
        <v>0</v>
      </c>
      <c r="Z69" s="63">
        <f t="shared" si="88"/>
        <v>0</v>
      </c>
      <c r="AA69" s="63">
        <f t="shared" si="88"/>
        <v>0</v>
      </c>
      <c r="AB69" s="63">
        <f t="shared" si="88"/>
        <v>0</v>
      </c>
      <c r="AC69" s="63">
        <f t="shared" si="88"/>
        <v>0</v>
      </c>
      <c r="AD69" s="63">
        <f t="shared" si="88"/>
        <v>0</v>
      </c>
      <c r="AE69" s="63">
        <f t="shared" si="88"/>
        <v>0</v>
      </c>
      <c r="AF69" s="63">
        <f t="shared" si="88"/>
        <v>0</v>
      </c>
      <c r="AG69" s="63">
        <f t="shared" si="88"/>
        <v>0</v>
      </c>
      <c r="AH69" s="424"/>
      <c r="AI69" s="20"/>
    </row>
    <row r="70" spans="1:35" s="22" customFormat="1" ht="63.75" customHeight="1" x14ac:dyDescent="0.25">
      <c r="A70" s="116"/>
      <c r="B70" s="530" t="s">
        <v>134</v>
      </c>
      <c r="C70" s="125" t="s">
        <v>20</v>
      </c>
      <c r="D70" s="74">
        <f t="shared" ref="D70:AG70" si="89">D71</f>
        <v>8869.2999999999993</v>
      </c>
      <c r="E70" s="62">
        <f t="shared" si="89"/>
        <v>8869.2999999999993</v>
      </c>
      <c r="F70" s="62">
        <f t="shared" ref="F70:F73" si="90">G70</f>
        <v>8869.2999999999993</v>
      </c>
      <c r="G70" s="62">
        <f>G71</f>
        <v>8869.2999999999993</v>
      </c>
      <c r="H70" s="62">
        <f t="shared" ref="H70:H74" si="91">IFERROR(G70/D70*100,0)</f>
        <v>100</v>
      </c>
      <c r="I70" s="62">
        <f t="shared" ref="I70:I74" si="92">IFERROR(G70/E70*100,0)</f>
        <v>100</v>
      </c>
      <c r="J70" s="62">
        <f t="shared" si="89"/>
        <v>8869.2999999999993</v>
      </c>
      <c r="K70" s="62">
        <f t="shared" si="89"/>
        <v>8869.2999999999993</v>
      </c>
      <c r="L70" s="62">
        <f t="shared" si="89"/>
        <v>0</v>
      </c>
      <c r="M70" s="62">
        <f t="shared" si="89"/>
        <v>0</v>
      </c>
      <c r="N70" s="62">
        <f t="shared" si="89"/>
        <v>0</v>
      </c>
      <c r="O70" s="62">
        <f t="shared" si="89"/>
        <v>0</v>
      </c>
      <c r="P70" s="62">
        <f t="shared" si="89"/>
        <v>0</v>
      </c>
      <c r="Q70" s="62">
        <f t="shared" si="89"/>
        <v>0</v>
      </c>
      <c r="R70" s="62">
        <f t="shared" si="89"/>
        <v>0</v>
      </c>
      <c r="S70" s="62">
        <f t="shared" si="89"/>
        <v>0</v>
      </c>
      <c r="T70" s="62">
        <f t="shared" si="89"/>
        <v>0</v>
      </c>
      <c r="U70" s="74">
        <f t="shared" si="89"/>
        <v>0</v>
      </c>
      <c r="V70" s="62">
        <f t="shared" si="89"/>
        <v>0</v>
      </c>
      <c r="W70" s="62">
        <f t="shared" si="89"/>
        <v>0</v>
      </c>
      <c r="X70" s="62">
        <f t="shared" si="89"/>
        <v>0</v>
      </c>
      <c r="Y70" s="62">
        <f t="shared" si="89"/>
        <v>0</v>
      </c>
      <c r="Z70" s="62">
        <f t="shared" si="89"/>
        <v>0</v>
      </c>
      <c r="AA70" s="62">
        <f t="shared" si="89"/>
        <v>0</v>
      </c>
      <c r="AB70" s="62">
        <f t="shared" si="89"/>
        <v>0</v>
      </c>
      <c r="AC70" s="62">
        <f t="shared" si="89"/>
        <v>0</v>
      </c>
      <c r="AD70" s="62">
        <f t="shared" si="89"/>
        <v>0</v>
      </c>
      <c r="AE70" s="62">
        <f t="shared" si="89"/>
        <v>0</v>
      </c>
      <c r="AF70" s="62">
        <f t="shared" si="89"/>
        <v>0</v>
      </c>
      <c r="AG70" s="62">
        <f t="shared" si="89"/>
        <v>0</v>
      </c>
      <c r="AH70" s="296"/>
      <c r="AI70" s="20"/>
    </row>
    <row r="71" spans="1:35" s="22" customFormat="1" ht="57" customHeight="1" x14ac:dyDescent="0.25">
      <c r="A71" s="116"/>
      <c r="B71" s="530"/>
      <c r="C71" s="126" t="s">
        <v>21</v>
      </c>
      <c r="D71" s="74">
        <f t="shared" ref="D71" si="93">SUM(J71,L71,N71,P71,R71,T71,V71,X71,Z71,AB71,AD71,AF71)</f>
        <v>8869.2999999999993</v>
      </c>
      <c r="E71" s="62">
        <f t="shared" ref="E71" si="94">J71</f>
        <v>8869.2999999999993</v>
      </c>
      <c r="F71" s="62">
        <f t="shared" si="90"/>
        <v>8869.2999999999993</v>
      </c>
      <c r="G71" s="62">
        <f t="shared" si="87"/>
        <v>8869.2999999999993</v>
      </c>
      <c r="H71" s="62">
        <f t="shared" si="91"/>
        <v>100</v>
      </c>
      <c r="I71" s="62">
        <f t="shared" si="92"/>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96"/>
      <c r="AI71" s="20"/>
    </row>
    <row r="72" spans="1:35" s="22" customFormat="1" ht="56.25" customHeight="1" x14ac:dyDescent="0.25">
      <c r="A72" s="116"/>
      <c r="B72" s="530" t="s">
        <v>135</v>
      </c>
      <c r="C72" s="125" t="s">
        <v>20</v>
      </c>
      <c r="D72" s="74">
        <f t="shared" ref="D72:E72" si="95">D73</f>
        <v>122.5</v>
      </c>
      <c r="E72" s="62">
        <f t="shared" si="95"/>
        <v>122.5</v>
      </c>
      <c r="F72" s="62">
        <f t="shared" si="90"/>
        <v>122.5</v>
      </c>
      <c r="G72" s="62">
        <f>G73</f>
        <v>122.5</v>
      </c>
      <c r="H72" s="62">
        <f t="shared" si="91"/>
        <v>100</v>
      </c>
      <c r="I72" s="62">
        <f t="shared" si="92"/>
        <v>100</v>
      </c>
      <c r="J72" s="62">
        <f t="shared" ref="J72:AG72" si="96">J73</f>
        <v>122.5</v>
      </c>
      <c r="K72" s="62">
        <f t="shared" si="96"/>
        <v>122.5</v>
      </c>
      <c r="L72" s="62">
        <f t="shared" si="96"/>
        <v>0</v>
      </c>
      <c r="M72" s="62">
        <f t="shared" si="96"/>
        <v>0</v>
      </c>
      <c r="N72" s="62">
        <f t="shared" si="96"/>
        <v>0</v>
      </c>
      <c r="O72" s="62">
        <f t="shared" si="96"/>
        <v>0</v>
      </c>
      <c r="P72" s="62">
        <f t="shared" si="96"/>
        <v>0</v>
      </c>
      <c r="Q72" s="62">
        <f t="shared" si="96"/>
        <v>0</v>
      </c>
      <c r="R72" s="62">
        <f t="shared" si="96"/>
        <v>0</v>
      </c>
      <c r="S72" s="62">
        <f t="shared" si="96"/>
        <v>0</v>
      </c>
      <c r="T72" s="62">
        <f t="shared" si="96"/>
        <v>0</v>
      </c>
      <c r="U72" s="74">
        <f t="shared" si="96"/>
        <v>0</v>
      </c>
      <c r="V72" s="62">
        <f t="shared" si="96"/>
        <v>0</v>
      </c>
      <c r="W72" s="62">
        <f t="shared" si="96"/>
        <v>0</v>
      </c>
      <c r="X72" s="62">
        <f t="shared" si="96"/>
        <v>0</v>
      </c>
      <c r="Y72" s="62">
        <f t="shared" si="96"/>
        <v>0</v>
      </c>
      <c r="Z72" s="62">
        <f t="shared" si="96"/>
        <v>0</v>
      </c>
      <c r="AA72" s="62">
        <f t="shared" si="96"/>
        <v>0</v>
      </c>
      <c r="AB72" s="62">
        <f t="shared" si="96"/>
        <v>0</v>
      </c>
      <c r="AC72" s="62">
        <f t="shared" si="96"/>
        <v>0</v>
      </c>
      <c r="AD72" s="62">
        <f t="shared" si="96"/>
        <v>0</v>
      </c>
      <c r="AE72" s="62">
        <f t="shared" si="96"/>
        <v>0</v>
      </c>
      <c r="AF72" s="62">
        <f t="shared" si="96"/>
        <v>0</v>
      </c>
      <c r="AG72" s="62">
        <f t="shared" si="96"/>
        <v>0</v>
      </c>
      <c r="AH72" s="297"/>
      <c r="AI72" s="20"/>
    </row>
    <row r="73" spans="1:35" s="22" customFormat="1" ht="41.25" customHeight="1" x14ac:dyDescent="0.25">
      <c r="A73" s="116"/>
      <c r="B73" s="530"/>
      <c r="C73" s="126" t="s">
        <v>21</v>
      </c>
      <c r="D73" s="74">
        <f t="shared" ref="D73" si="97">SUM(J73,L73,N73,P73,R73,T73,V73,X73,Z73,AB73,AD73,AF73)</f>
        <v>122.5</v>
      </c>
      <c r="E73" s="62">
        <f t="shared" ref="E73" si="98">J73</f>
        <v>122.5</v>
      </c>
      <c r="F73" s="62">
        <f t="shared" si="90"/>
        <v>122.5</v>
      </c>
      <c r="G73" s="62">
        <f t="shared" ref="G73" si="99">SUM(K73,M73,O73,Q73,S73,U73,W73,Y73,AA73,AC73,AE73,AG73)</f>
        <v>122.5</v>
      </c>
      <c r="H73" s="62">
        <f t="shared" si="91"/>
        <v>100</v>
      </c>
      <c r="I73" s="62">
        <f t="shared" si="92"/>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519"/>
      <c r="B74" s="551" t="s">
        <v>136</v>
      </c>
      <c r="C74" s="125" t="s">
        <v>20</v>
      </c>
      <c r="D74" s="70">
        <f>D76+D75</f>
        <v>22321.3</v>
      </c>
      <c r="E74" s="58">
        <f>E76+E75</f>
        <v>19760.874999999996</v>
      </c>
      <c r="F74" s="58">
        <f>F76+F75</f>
        <v>9130.14</v>
      </c>
      <c r="G74" s="58">
        <f>G76+G75</f>
        <v>12903.319</v>
      </c>
      <c r="H74" s="58">
        <f t="shared" si="91"/>
        <v>57.807202089484036</v>
      </c>
      <c r="I74" s="58">
        <f t="shared" si="92"/>
        <v>65.297305913832275</v>
      </c>
      <c r="J74" s="59">
        <f t="shared" ref="J74:AG74" si="100">J76+J75</f>
        <v>3313.4</v>
      </c>
      <c r="K74" s="59">
        <f t="shared" si="100"/>
        <v>1115.028</v>
      </c>
      <c r="L74" s="59">
        <f t="shared" si="100"/>
        <v>3192.625</v>
      </c>
      <c r="M74" s="59">
        <f t="shared" si="100"/>
        <v>2472.8589999999999</v>
      </c>
      <c r="N74" s="59">
        <f t="shared" si="100"/>
        <v>1420.81</v>
      </c>
      <c r="O74" s="59">
        <f t="shared" si="100"/>
        <v>838.51</v>
      </c>
      <c r="P74" s="59">
        <f t="shared" si="100"/>
        <v>8380.4399999999987</v>
      </c>
      <c r="Q74" s="59">
        <f t="shared" si="100"/>
        <v>3703.4690000000001</v>
      </c>
      <c r="R74" s="59">
        <f t="shared" si="100"/>
        <v>1958.8</v>
      </c>
      <c r="S74" s="59">
        <f t="shared" si="100"/>
        <v>856.8</v>
      </c>
      <c r="T74" s="59">
        <f t="shared" si="100"/>
        <v>0</v>
      </c>
      <c r="U74" s="71">
        <f t="shared" si="100"/>
        <v>1684.38</v>
      </c>
      <c r="V74" s="59">
        <f t="shared" si="100"/>
        <v>0</v>
      </c>
      <c r="W74" s="59">
        <f t="shared" si="100"/>
        <v>1311.903</v>
      </c>
      <c r="X74" s="59">
        <f t="shared" si="100"/>
        <v>1494.8</v>
      </c>
      <c r="Y74" s="59">
        <f t="shared" si="100"/>
        <v>920.37</v>
      </c>
      <c r="Z74" s="59">
        <f t="shared" si="100"/>
        <v>27.524999999999999</v>
      </c>
      <c r="AA74" s="59">
        <f t="shared" si="100"/>
        <v>0</v>
      </c>
      <c r="AB74" s="59">
        <f t="shared" si="100"/>
        <v>2404.1999999999998</v>
      </c>
      <c r="AC74" s="59">
        <f t="shared" si="100"/>
        <v>0</v>
      </c>
      <c r="AD74" s="59">
        <f t="shared" si="100"/>
        <v>0</v>
      </c>
      <c r="AE74" s="59">
        <f t="shared" si="100"/>
        <v>0</v>
      </c>
      <c r="AF74" s="59">
        <f t="shared" si="100"/>
        <v>128.69999999999999</v>
      </c>
      <c r="AG74" s="59">
        <f t="shared" si="100"/>
        <v>0</v>
      </c>
      <c r="AH74" s="60"/>
      <c r="AI74" s="20"/>
    </row>
    <row r="75" spans="1:35" s="22" customFormat="1" ht="37.5" hidden="1" customHeight="1" x14ac:dyDescent="0.25">
      <c r="A75" s="520"/>
      <c r="B75" s="552"/>
      <c r="C75" s="126" t="s">
        <v>22</v>
      </c>
      <c r="D75" s="74">
        <f>SUM(J75,L75,N75,P75,R75,T75,V75,X75,Z75,AB75,AD75,AF75)</f>
        <v>1203.3</v>
      </c>
      <c r="E75" s="62">
        <f>J75+L75+N75+P75+R75+T75+V75+X75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521"/>
      <c r="B76" s="552"/>
      <c r="C76" s="126" t="s">
        <v>21</v>
      </c>
      <c r="D76" s="74">
        <f>SUM(J76,L76,N76,P76,R76,T76,V76,X76,Z76,AB76,AD76,AF76)</f>
        <v>21118</v>
      </c>
      <c r="E76" s="62">
        <f>J76+L76+N76+P76+R76+T76+V76+X76</f>
        <v>18557.574999999997</v>
      </c>
      <c r="F76" s="62">
        <v>7926.84</v>
      </c>
      <c r="G76" s="62">
        <f>SUM(K76,M76,O76,Q76,S76,U76,W76,Y76,AA76,AC76,AE76,AG76)</f>
        <v>11700.019</v>
      </c>
      <c r="H76" s="62">
        <f>IFERROR(G76/D76*100,0)</f>
        <v>55.403063737096318</v>
      </c>
      <c r="I76" s="62">
        <f>IFERROR(G76/E76*100,0)</f>
        <v>63.047133044053453</v>
      </c>
      <c r="J76" s="63">
        <v>3313.4</v>
      </c>
      <c r="K76" s="63">
        <v>1115.028</v>
      </c>
      <c r="L76" s="63">
        <v>3192.625</v>
      </c>
      <c r="M76" s="63">
        <v>2472.8589999999999</v>
      </c>
      <c r="N76" s="63">
        <v>1420.81</v>
      </c>
      <c r="O76" s="63">
        <v>838.51</v>
      </c>
      <c r="P76" s="63">
        <v>7715.94</v>
      </c>
      <c r="Q76" s="63">
        <v>3038.9690000000001</v>
      </c>
      <c r="R76" s="63">
        <v>1420</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300" t="s">
        <v>452</v>
      </c>
      <c r="AI76" s="20"/>
    </row>
    <row r="77" spans="1:35" s="22" customFormat="1" ht="23.25" customHeight="1" x14ac:dyDescent="0.25">
      <c r="A77" s="547" t="s">
        <v>51</v>
      </c>
      <c r="B77" s="525" t="s">
        <v>137</v>
      </c>
      <c r="C77" s="126" t="s">
        <v>20</v>
      </c>
      <c r="D77" s="74">
        <f>D79+D78</f>
        <v>190065.18800000002</v>
      </c>
      <c r="E77" s="62">
        <f t="shared" ref="E77:G77" si="101">E79+E78</f>
        <v>14536.495999999999</v>
      </c>
      <c r="F77" s="62">
        <f t="shared" si="101"/>
        <v>96912.260000000009</v>
      </c>
      <c r="G77" s="62">
        <f t="shared" si="101"/>
        <v>96912.260000000009</v>
      </c>
      <c r="H77" s="62">
        <f t="shared" ref="H77" si="102">IFERROR(G77/D77*100,0)</f>
        <v>50.988958588250256</v>
      </c>
      <c r="I77" s="62">
        <f t="shared" ref="I77" si="103">IFERROR(G77/E77*100,0)</f>
        <v>666.68239718842847</v>
      </c>
      <c r="J77" s="63">
        <f>J79+J78</f>
        <v>14536.495999999999</v>
      </c>
      <c r="K77" s="63">
        <f t="shared" ref="K77:AG77" si="104">K79+K78</f>
        <v>3101.25</v>
      </c>
      <c r="L77" s="63">
        <f t="shared" si="104"/>
        <v>11470.393999999998</v>
      </c>
      <c r="M77" s="63">
        <f t="shared" si="104"/>
        <v>16259.92</v>
      </c>
      <c r="N77" s="63">
        <f t="shared" si="104"/>
        <v>12827.110999999999</v>
      </c>
      <c r="O77" s="63">
        <f t="shared" si="104"/>
        <v>10513.800000000001</v>
      </c>
      <c r="P77" s="63">
        <f t="shared" si="104"/>
        <v>20736.489999999998</v>
      </c>
      <c r="Q77" s="63">
        <f t="shared" si="104"/>
        <v>16017.029999999999</v>
      </c>
      <c r="R77" s="63">
        <f t="shared" si="104"/>
        <v>27670.249</v>
      </c>
      <c r="S77" s="63">
        <f t="shared" si="104"/>
        <v>11012.86</v>
      </c>
      <c r="T77" s="63">
        <f t="shared" si="104"/>
        <v>27173.512999999999</v>
      </c>
      <c r="U77" s="67">
        <f t="shared" si="104"/>
        <v>24046.120000000003</v>
      </c>
      <c r="V77" s="63">
        <f t="shared" si="104"/>
        <v>12689.179999999998</v>
      </c>
      <c r="W77" s="63">
        <f t="shared" si="104"/>
        <v>13863.83</v>
      </c>
      <c r="X77" s="63">
        <f t="shared" si="104"/>
        <v>8446.6299999999992</v>
      </c>
      <c r="Y77" s="63">
        <f t="shared" si="104"/>
        <v>2097.4500000000003</v>
      </c>
      <c r="Z77" s="63">
        <f t="shared" si="104"/>
        <v>8684.8350000000009</v>
      </c>
      <c r="AA77" s="63">
        <f t="shared" si="104"/>
        <v>0</v>
      </c>
      <c r="AB77" s="63">
        <f t="shared" si="104"/>
        <v>18455.164000000001</v>
      </c>
      <c r="AC77" s="63">
        <f t="shared" si="104"/>
        <v>0</v>
      </c>
      <c r="AD77" s="63">
        <f t="shared" si="104"/>
        <v>11423.13</v>
      </c>
      <c r="AE77" s="63">
        <f t="shared" si="104"/>
        <v>0</v>
      </c>
      <c r="AF77" s="63">
        <f t="shared" si="104"/>
        <v>15951.995999999999</v>
      </c>
      <c r="AG77" s="63">
        <f t="shared" si="104"/>
        <v>0</v>
      </c>
      <c r="AH77" s="309"/>
      <c r="AI77" s="20"/>
    </row>
    <row r="78" spans="1:35" s="22" customFormat="1" ht="45" customHeight="1" x14ac:dyDescent="0.25">
      <c r="A78" s="548"/>
      <c r="B78" s="526"/>
      <c r="C78" s="126" t="s">
        <v>21</v>
      </c>
      <c r="D78" s="74">
        <f>SUM(J78,L78,N78,P78,R78,T78,V78,X78,Z78,AB78,AD78,AF78)</f>
        <v>185284.7</v>
      </c>
      <c r="E78" s="62">
        <f>J78</f>
        <v>14071.286</v>
      </c>
      <c r="F78" s="62">
        <f>G78</f>
        <v>93828.19</v>
      </c>
      <c r="G78" s="62">
        <f>SUM(K78,M78,O78,Q78,S78,U78,W78,Y78,AA78,AC78,AE78,AG78)</f>
        <v>93828.19</v>
      </c>
      <c r="H78" s="62">
        <f>IFERROR(G78/D78*100,0)</f>
        <v>50.64000967160267</v>
      </c>
      <c r="I78" s="62">
        <f>IFERROR(G78/E78*100,0)</f>
        <v>666.80607586257577</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0</v>
      </c>
      <c r="AB78" s="63">
        <v>17971.083999999999</v>
      </c>
      <c r="AC78" s="63">
        <v>0</v>
      </c>
      <c r="AD78" s="63">
        <v>11265.89</v>
      </c>
      <c r="AE78" s="63">
        <v>0</v>
      </c>
      <c r="AF78" s="63">
        <v>15783.767</v>
      </c>
      <c r="AG78" s="63">
        <v>0</v>
      </c>
      <c r="AH78" s="64"/>
      <c r="AI78" s="20"/>
    </row>
    <row r="79" spans="1:35" s="22" customFormat="1" ht="61.5" customHeight="1" x14ac:dyDescent="0.25">
      <c r="A79" s="520"/>
      <c r="B79" s="526"/>
      <c r="C79" s="126" t="s">
        <v>113</v>
      </c>
      <c r="D79" s="74">
        <f>SUM(J79,L79,N79,P79,R79,T79,V79,X79,Z79,AB79,AD79,AF79)</f>
        <v>4780.4880000000003</v>
      </c>
      <c r="E79" s="62">
        <f>J79</f>
        <v>465.21</v>
      </c>
      <c r="F79" s="62">
        <f>G79</f>
        <v>3084.07</v>
      </c>
      <c r="G79" s="62">
        <f>SUM(K79,M79,O79,Q79,S79,U79,W79,Y79,AA79,AC79,AE79,AG79)</f>
        <v>3084.07</v>
      </c>
      <c r="H79" s="62">
        <f>IFERROR(G79/D79*100,0)</f>
        <v>64.513706550460952</v>
      </c>
      <c r="I79" s="62">
        <f>IFERROR(G79/E79*100,0)</f>
        <v>662.94146729434033</v>
      </c>
      <c r="J79" s="63">
        <v>465.21</v>
      </c>
      <c r="K79" s="63">
        <v>0</v>
      </c>
      <c r="L79" s="63">
        <v>472.21</v>
      </c>
      <c r="M79" s="63">
        <v>368.76</v>
      </c>
      <c r="N79" s="63">
        <v>465.21</v>
      </c>
      <c r="O79" s="63">
        <v>468.44</v>
      </c>
      <c r="P79" s="63">
        <v>464.71</v>
      </c>
      <c r="Q79" s="63">
        <v>374.98</v>
      </c>
      <c r="R79" s="63">
        <v>1351.55</v>
      </c>
      <c r="S79" s="63">
        <v>877.68</v>
      </c>
      <c r="T79" s="63">
        <v>106.819</v>
      </c>
      <c r="U79" s="67">
        <v>729.31</v>
      </c>
      <c r="V79" s="63">
        <v>83.88</v>
      </c>
      <c r="W79" s="63">
        <v>201.14</v>
      </c>
      <c r="X79" s="63">
        <v>75.58</v>
      </c>
      <c r="Y79" s="63">
        <v>63.76</v>
      </c>
      <c r="Z79" s="63">
        <v>485.77</v>
      </c>
      <c r="AA79" s="63">
        <v>0</v>
      </c>
      <c r="AB79" s="63">
        <v>484.08</v>
      </c>
      <c r="AC79" s="63">
        <v>0</v>
      </c>
      <c r="AD79" s="63">
        <v>157.24</v>
      </c>
      <c r="AE79" s="63">
        <v>0</v>
      </c>
      <c r="AF79" s="63">
        <v>168.22900000000001</v>
      </c>
      <c r="AG79" s="63">
        <v>0</v>
      </c>
      <c r="AH79" s="424"/>
      <c r="AI79" s="20"/>
    </row>
    <row r="80" spans="1:35" s="22" customFormat="1" ht="56.25" customHeight="1" x14ac:dyDescent="0.25">
      <c r="A80" s="520" t="s">
        <v>138</v>
      </c>
      <c r="B80" s="525" t="s">
        <v>139</v>
      </c>
      <c r="C80" s="125" t="s">
        <v>20</v>
      </c>
      <c r="D80" s="74">
        <f t="shared" ref="D80:E80" si="105">D81</f>
        <v>5832.1999999999989</v>
      </c>
      <c r="E80" s="62">
        <f t="shared" si="105"/>
        <v>5800.2999999999993</v>
      </c>
      <c r="F80" s="62">
        <f t="shared" ref="F80:F81" si="106">G80</f>
        <v>4972.2649999999994</v>
      </c>
      <c r="G80" s="62">
        <f>G81</f>
        <v>4972.2649999999994</v>
      </c>
      <c r="H80" s="62">
        <f t="shared" ref="H80:H93" si="107">IFERROR(G80/D80*100,0)</f>
        <v>85.255392476252538</v>
      </c>
      <c r="I80" s="62">
        <f t="shared" ref="I80:I93" si="108">IFERROR(G80/E80*100,0)</f>
        <v>85.72427288243712</v>
      </c>
      <c r="J80" s="62">
        <f t="shared" ref="J80:AG80" si="109">J81</f>
        <v>32.9</v>
      </c>
      <c r="K80" s="62">
        <f t="shared" si="109"/>
        <v>13.587999999999999</v>
      </c>
      <c r="L80" s="62">
        <f t="shared" si="109"/>
        <v>228.3</v>
      </c>
      <c r="M80" s="62">
        <f t="shared" si="109"/>
        <v>126.679</v>
      </c>
      <c r="N80" s="62">
        <f t="shared" si="109"/>
        <v>665.8</v>
      </c>
      <c r="O80" s="62">
        <f t="shared" si="109"/>
        <v>309</v>
      </c>
      <c r="P80" s="62">
        <f t="shared" si="109"/>
        <v>2928.6</v>
      </c>
      <c r="Q80" s="62">
        <f t="shared" si="109"/>
        <v>1850.6320000000001</v>
      </c>
      <c r="R80" s="62">
        <f t="shared" si="109"/>
        <v>63.4</v>
      </c>
      <c r="S80" s="62">
        <f t="shared" si="109"/>
        <v>1173.566</v>
      </c>
      <c r="T80" s="62">
        <f t="shared" si="109"/>
        <v>0</v>
      </c>
      <c r="U80" s="74">
        <f t="shared" si="109"/>
        <v>25</v>
      </c>
      <c r="V80" s="62">
        <f t="shared" si="109"/>
        <v>1817.9</v>
      </c>
      <c r="W80" s="62">
        <f t="shared" si="109"/>
        <v>1336.4</v>
      </c>
      <c r="X80" s="62">
        <f t="shared" si="109"/>
        <v>63.4</v>
      </c>
      <c r="Y80" s="62">
        <f t="shared" si="109"/>
        <v>137.4</v>
      </c>
      <c r="Z80" s="62">
        <f t="shared" si="109"/>
        <v>0</v>
      </c>
      <c r="AA80" s="62">
        <f t="shared" si="109"/>
        <v>0</v>
      </c>
      <c r="AB80" s="62">
        <f t="shared" si="109"/>
        <v>23.7</v>
      </c>
      <c r="AC80" s="62">
        <f t="shared" si="109"/>
        <v>0</v>
      </c>
      <c r="AD80" s="62">
        <f t="shared" si="109"/>
        <v>8.1999999999999993</v>
      </c>
      <c r="AE80" s="62">
        <f t="shared" si="109"/>
        <v>0</v>
      </c>
      <c r="AF80" s="62">
        <f t="shared" si="109"/>
        <v>0</v>
      </c>
      <c r="AG80" s="62">
        <f t="shared" si="109"/>
        <v>0</v>
      </c>
      <c r="AH80" s="296"/>
      <c r="AI80" s="20"/>
    </row>
    <row r="81" spans="1:35" s="22" customFormat="1" ht="41.25" customHeight="1" x14ac:dyDescent="0.25">
      <c r="A81" s="520"/>
      <c r="B81" s="526"/>
      <c r="C81" s="126" t="s">
        <v>21</v>
      </c>
      <c r="D81" s="74">
        <f t="shared" ref="D81" si="110">SUM(J81,L81,N81,P81,R81,T81,V81,X81,Z81,AB81,AD81,AF81)</f>
        <v>5832.1999999999989</v>
      </c>
      <c r="E81" s="62">
        <f>J81+L81+N81+P81+R81+T81+V81+X81</f>
        <v>5800.2999999999993</v>
      </c>
      <c r="F81" s="62">
        <f t="shared" si="106"/>
        <v>4972.2649999999994</v>
      </c>
      <c r="G81" s="62">
        <f t="shared" ref="G81" si="111">SUM(K81,M81,O81,Q81,S81,U81,W81,Y81,AA81,AC81,AE81,AG81)</f>
        <v>4972.2649999999994</v>
      </c>
      <c r="H81" s="62">
        <f t="shared" si="107"/>
        <v>85.255392476252538</v>
      </c>
      <c r="I81" s="62">
        <f t="shared" si="108"/>
        <v>85.72427288243712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0</v>
      </c>
      <c r="AB81" s="63">
        <v>23.7</v>
      </c>
      <c r="AC81" s="63">
        <v>0</v>
      </c>
      <c r="AD81" s="63">
        <v>8.1999999999999993</v>
      </c>
      <c r="AE81" s="63">
        <v>0</v>
      </c>
      <c r="AF81" s="63">
        <v>0</v>
      </c>
      <c r="AG81" s="63">
        <v>0</v>
      </c>
      <c r="AH81" s="296"/>
      <c r="AI81" s="20"/>
    </row>
    <row r="82" spans="1:35" s="21" customFormat="1" ht="23.25" customHeight="1" x14ac:dyDescent="0.25">
      <c r="A82" s="519" t="s">
        <v>140</v>
      </c>
      <c r="B82" s="525" t="s">
        <v>141</v>
      </c>
      <c r="C82" s="125" t="s">
        <v>20</v>
      </c>
      <c r="D82" s="70">
        <f>D84+D85+D83</f>
        <v>447.1</v>
      </c>
      <c r="E82" s="58">
        <f t="shared" ref="E82:G82" si="112">E84+E85+E83</f>
        <v>0</v>
      </c>
      <c r="F82" s="58">
        <f t="shared" si="112"/>
        <v>225.38</v>
      </c>
      <c r="G82" s="58">
        <f t="shared" si="112"/>
        <v>225.38</v>
      </c>
      <c r="H82" s="58">
        <f t="shared" si="107"/>
        <v>50.409304406173113</v>
      </c>
      <c r="I82" s="58">
        <f t="shared" si="108"/>
        <v>0</v>
      </c>
      <c r="J82" s="58">
        <f t="shared" ref="J82:AG82" si="113">J84+J85+J83</f>
        <v>0</v>
      </c>
      <c r="K82" s="58">
        <f t="shared" si="113"/>
        <v>0</v>
      </c>
      <c r="L82" s="58">
        <f t="shared" si="113"/>
        <v>0</v>
      </c>
      <c r="M82" s="58">
        <f t="shared" si="113"/>
        <v>0</v>
      </c>
      <c r="N82" s="58">
        <f t="shared" si="113"/>
        <v>116.94499999999999</v>
      </c>
      <c r="O82" s="58">
        <f t="shared" si="113"/>
        <v>0</v>
      </c>
      <c r="P82" s="58">
        <f t="shared" si="113"/>
        <v>15.1</v>
      </c>
      <c r="Q82" s="58">
        <f t="shared" si="113"/>
        <v>123.24</v>
      </c>
      <c r="R82" s="58">
        <f t="shared" si="113"/>
        <v>41.055</v>
      </c>
      <c r="S82" s="58">
        <f t="shared" si="113"/>
        <v>28.14</v>
      </c>
      <c r="T82" s="58">
        <f t="shared" si="113"/>
        <v>0</v>
      </c>
      <c r="U82" s="70">
        <f t="shared" si="113"/>
        <v>0</v>
      </c>
      <c r="V82" s="58">
        <f t="shared" si="113"/>
        <v>74</v>
      </c>
      <c r="W82" s="58">
        <f t="shared" si="113"/>
        <v>0</v>
      </c>
      <c r="X82" s="58">
        <f t="shared" si="113"/>
        <v>60</v>
      </c>
      <c r="Y82" s="58">
        <f t="shared" si="113"/>
        <v>74</v>
      </c>
      <c r="Z82" s="58">
        <f t="shared" si="113"/>
        <v>140</v>
      </c>
      <c r="AA82" s="58">
        <f t="shared" si="113"/>
        <v>0</v>
      </c>
      <c r="AB82" s="58">
        <f t="shared" si="113"/>
        <v>0</v>
      </c>
      <c r="AC82" s="58">
        <f t="shared" si="113"/>
        <v>0</v>
      </c>
      <c r="AD82" s="58">
        <f t="shared" si="113"/>
        <v>0</v>
      </c>
      <c r="AE82" s="58">
        <f t="shared" si="113"/>
        <v>0</v>
      </c>
      <c r="AF82" s="58">
        <f t="shared" si="113"/>
        <v>0</v>
      </c>
      <c r="AG82" s="58">
        <f t="shared" si="113"/>
        <v>0</v>
      </c>
      <c r="AH82" s="297"/>
      <c r="AI82" s="23"/>
    </row>
    <row r="83" spans="1:35" s="21" customFormat="1" ht="17.25" hidden="1" customHeight="1" x14ac:dyDescent="0.25">
      <c r="A83" s="520"/>
      <c r="B83" s="526"/>
      <c r="C83" s="126" t="s">
        <v>52</v>
      </c>
      <c r="D83" s="74">
        <f>SUM(J83,L83,N83,P83,R83,T83,V83,X83,Z83,AB83,AD83,AF83)</f>
        <v>0</v>
      </c>
      <c r="E83" s="62">
        <f>J83</f>
        <v>0</v>
      </c>
      <c r="F83" s="62">
        <f>G83</f>
        <v>0</v>
      </c>
      <c r="G83" s="62">
        <f>SUM(K83,M83,O83,Q83,S83,U83,W83,Y83,AA83,AC83,AE83,AG83)</f>
        <v>0</v>
      </c>
      <c r="H83" s="62">
        <f t="shared" si="107"/>
        <v>0</v>
      </c>
      <c r="I83" s="62">
        <f t="shared" si="108"/>
        <v>0</v>
      </c>
      <c r="J83" s="62">
        <f>J87</f>
        <v>0</v>
      </c>
      <c r="K83" s="62">
        <f t="shared" ref="K83:AG83" si="114">K87</f>
        <v>0</v>
      </c>
      <c r="L83" s="62">
        <f t="shared" si="114"/>
        <v>0</v>
      </c>
      <c r="M83" s="62">
        <f t="shared" si="114"/>
        <v>0</v>
      </c>
      <c r="N83" s="62">
        <f t="shared" si="114"/>
        <v>0</v>
      </c>
      <c r="O83" s="62">
        <f t="shared" si="114"/>
        <v>0</v>
      </c>
      <c r="P83" s="62">
        <f t="shared" si="114"/>
        <v>0</v>
      </c>
      <c r="Q83" s="62">
        <f t="shared" si="114"/>
        <v>0</v>
      </c>
      <c r="R83" s="62">
        <f t="shared" si="114"/>
        <v>0</v>
      </c>
      <c r="S83" s="62">
        <f t="shared" si="114"/>
        <v>0</v>
      </c>
      <c r="T83" s="62">
        <f t="shared" si="114"/>
        <v>0</v>
      </c>
      <c r="U83" s="74">
        <f t="shared" si="114"/>
        <v>0</v>
      </c>
      <c r="V83" s="62">
        <f t="shared" si="114"/>
        <v>0</v>
      </c>
      <c r="W83" s="62">
        <f t="shared" si="114"/>
        <v>0</v>
      </c>
      <c r="X83" s="62">
        <f t="shared" si="114"/>
        <v>0</v>
      </c>
      <c r="Y83" s="62">
        <f t="shared" si="114"/>
        <v>0</v>
      </c>
      <c r="Z83" s="62">
        <f t="shared" si="114"/>
        <v>0</v>
      </c>
      <c r="AA83" s="62">
        <f t="shared" si="114"/>
        <v>0</v>
      </c>
      <c r="AB83" s="62">
        <f t="shared" si="114"/>
        <v>0</v>
      </c>
      <c r="AC83" s="62">
        <f t="shared" si="114"/>
        <v>0</v>
      </c>
      <c r="AD83" s="62">
        <f t="shared" si="114"/>
        <v>0</v>
      </c>
      <c r="AE83" s="62">
        <f t="shared" si="114"/>
        <v>0</v>
      </c>
      <c r="AF83" s="62">
        <f t="shared" si="114"/>
        <v>0</v>
      </c>
      <c r="AG83" s="62">
        <f t="shared" si="114"/>
        <v>0</v>
      </c>
      <c r="AH83" s="60"/>
      <c r="AI83" s="23"/>
    </row>
    <row r="84" spans="1:35" s="21" customFormat="1" ht="37.5" customHeight="1" x14ac:dyDescent="0.25">
      <c r="A84" s="520"/>
      <c r="B84" s="526"/>
      <c r="C84" s="126" t="s">
        <v>22</v>
      </c>
      <c r="D84" s="74">
        <f>SUM(J84,L84,N84,P84,R84,T84,V84,X84,Z84,AB84,AD84,AF84)</f>
        <v>74</v>
      </c>
      <c r="E84" s="62">
        <f>J84</f>
        <v>0</v>
      </c>
      <c r="F84" s="62">
        <f>G84</f>
        <v>74</v>
      </c>
      <c r="G84" s="62">
        <f>SUM(K84,M84,O84,Q84,S84,U84,W84,Y84,AA84,AC84,AE84,AG84)</f>
        <v>74</v>
      </c>
      <c r="H84" s="62">
        <f t="shared" si="107"/>
        <v>100</v>
      </c>
      <c r="I84" s="62">
        <f t="shared" si="108"/>
        <v>0</v>
      </c>
      <c r="J84" s="63">
        <f>J92</f>
        <v>0</v>
      </c>
      <c r="K84" s="63">
        <f t="shared" ref="K84:AG84" si="115">K92</f>
        <v>0</v>
      </c>
      <c r="L84" s="63">
        <f t="shared" si="115"/>
        <v>0</v>
      </c>
      <c r="M84" s="63">
        <f t="shared" si="115"/>
        <v>0</v>
      </c>
      <c r="N84" s="63">
        <f t="shared" si="115"/>
        <v>0</v>
      </c>
      <c r="O84" s="63">
        <f t="shared" si="115"/>
        <v>0</v>
      </c>
      <c r="P84" s="63">
        <f t="shared" si="115"/>
        <v>0</v>
      </c>
      <c r="Q84" s="63">
        <f t="shared" si="115"/>
        <v>0</v>
      </c>
      <c r="R84" s="63">
        <f t="shared" si="115"/>
        <v>0</v>
      </c>
      <c r="S84" s="63">
        <f t="shared" si="115"/>
        <v>0</v>
      </c>
      <c r="T84" s="63">
        <f t="shared" si="115"/>
        <v>0</v>
      </c>
      <c r="U84" s="67">
        <f t="shared" si="115"/>
        <v>0</v>
      </c>
      <c r="V84" s="63">
        <f t="shared" si="115"/>
        <v>74</v>
      </c>
      <c r="W84" s="63">
        <f t="shared" si="115"/>
        <v>0</v>
      </c>
      <c r="X84" s="63">
        <f t="shared" si="115"/>
        <v>0</v>
      </c>
      <c r="Y84" s="63">
        <f t="shared" si="115"/>
        <v>74</v>
      </c>
      <c r="Z84" s="63">
        <f t="shared" si="115"/>
        <v>0</v>
      </c>
      <c r="AA84" s="63">
        <f t="shared" si="115"/>
        <v>0</v>
      </c>
      <c r="AB84" s="63">
        <f t="shared" si="115"/>
        <v>0</v>
      </c>
      <c r="AC84" s="63">
        <f t="shared" si="115"/>
        <v>0</v>
      </c>
      <c r="AD84" s="63">
        <f t="shared" si="115"/>
        <v>0</v>
      </c>
      <c r="AE84" s="63">
        <f t="shared" si="115"/>
        <v>0</v>
      </c>
      <c r="AF84" s="63">
        <f t="shared" si="115"/>
        <v>0</v>
      </c>
      <c r="AG84" s="63">
        <f t="shared" si="115"/>
        <v>0</v>
      </c>
      <c r="AH84" s="381"/>
      <c r="AI84" s="23"/>
    </row>
    <row r="85" spans="1:35" s="22" customFormat="1" ht="33" customHeight="1" x14ac:dyDescent="0.25">
      <c r="A85" s="520"/>
      <c r="B85" s="527"/>
      <c r="C85" s="126" t="s">
        <v>21</v>
      </c>
      <c r="D85" s="74">
        <f>SUM(J85,L85,N85,P85,R85,T85,V85,X85,Z85,AB85,AD85,AF85)</f>
        <v>373.1</v>
      </c>
      <c r="E85" s="62">
        <f>J85</f>
        <v>0</v>
      </c>
      <c r="F85" s="62">
        <f>G85</f>
        <v>151.38</v>
      </c>
      <c r="G85" s="62">
        <f>SUM(K85,M85,O85,Q85,S85,U85,W85,Y85,AA85,AC85,AE85,AG85)</f>
        <v>151.38</v>
      </c>
      <c r="H85" s="62">
        <f t="shared" si="107"/>
        <v>40.573572768694717</v>
      </c>
      <c r="I85" s="62">
        <f t="shared" si="108"/>
        <v>0</v>
      </c>
      <c r="J85" s="67">
        <f>J89</f>
        <v>0</v>
      </c>
      <c r="K85" s="67">
        <f t="shared" ref="K85:AG85" si="116">K89</f>
        <v>0</v>
      </c>
      <c r="L85" s="67">
        <f t="shared" si="116"/>
        <v>0</v>
      </c>
      <c r="M85" s="67">
        <f t="shared" si="116"/>
        <v>0</v>
      </c>
      <c r="N85" s="67">
        <f t="shared" si="116"/>
        <v>116.94499999999999</v>
      </c>
      <c r="O85" s="67">
        <f t="shared" si="116"/>
        <v>0</v>
      </c>
      <c r="P85" s="67">
        <f t="shared" si="116"/>
        <v>15.1</v>
      </c>
      <c r="Q85" s="67">
        <f t="shared" si="116"/>
        <v>123.24</v>
      </c>
      <c r="R85" s="67">
        <f t="shared" si="116"/>
        <v>41.055</v>
      </c>
      <c r="S85" s="67">
        <f t="shared" si="116"/>
        <v>28.14</v>
      </c>
      <c r="T85" s="67">
        <f t="shared" si="116"/>
        <v>0</v>
      </c>
      <c r="U85" s="67">
        <f t="shared" si="116"/>
        <v>0</v>
      </c>
      <c r="V85" s="67">
        <f t="shared" si="116"/>
        <v>0</v>
      </c>
      <c r="W85" s="67">
        <f t="shared" si="116"/>
        <v>0</v>
      </c>
      <c r="X85" s="67">
        <f t="shared" si="116"/>
        <v>60</v>
      </c>
      <c r="Y85" s="67">
        <f t="shared" si="116"/>
        <v>0</v>
      </c>
      <c r="Z85" s="67">
        <f t="shared" si="116"/>
        <v>140</v>
      </c>
      <c r="AA85" s="67">
        <f t="shared" si="116"/>
        <v>0</v>
      </c>
      <c r="AB85" s="67">
        <f t="shared" si="116"/>
        <v>0</v>
      </c>
      <c r="AC85" s="67">
        <f t="shared" si="116"/>
        <v>0</v>
      </c>
      <c r="AD85" s="67">
        <f t="shared" si="116"/>
        <v>0</v>
      </c>
      <c r="AE85" s="67">
        <f t="shared" si="116"/>
        <v>0</v>
      </c>
      <c r="AF85" s="67">
        <f t="shared" si="116"/>
        <v>0</v>
      </c>
      <c r="AG85" s="67">
        <f t="shared" si="116"/>
        <v>0</v>
      </c>
      <c r="AH85" s="296"/>
      <c r="AI85" s="20"/>
    </row>
    <row r="86" spans="1:35" s="21" customFormat="1" ht="72.75" customHeight="1" x14ac:dyDescent="0.25">
      <c r="A86" s="127"/>
      <c r="B86" s="545" t="s">
        <v>142</v>
      </c>
      <c r="C86" s="125" t="s">
        <v>20</v>
      </c>
      <c r="D86" s="70">
        <f>D88+D89+D87</f>
        <v>373.1</v>
      </c>
      <c r="E86" s="58">
        <f t="shared" ref="E86:G86" si="117">E88+E89+E87</f>
        <v>233.1</v>
      </c>
      <c r="F86" s="58">
        <f t="shared" si="117"/>
        <v>116.95</v>
      </c>
      <c r="G86" s="58">
        <f t="shared" si="117"/>
        <v>151.38</v>
      </c>
      <c r="H86" s="58">
        <f t="shared" si="107"/>
        <v>40.573572768694717</v>
      </c>
      <c r="I86" s="58">
        <f t="shared" si="108"/>
        <v>64.942084942084946</v>
      </c>
      <c r="J86" s="58">
        <f t="shared" ref="J86:AG86" si="118">J88+J89+J87</f>
        <v>0</v>
      </c>
      <c r="K86" s="58">
        <f t="shared" si="118"/>
        <v>0</v>
      </c>
      <c r="L86" s="58">
        <f t="shared" si="118"/>
        <v>0</v>
      </c>
      <c r="M86" s="58">
        <f t="shared" si="118"/>
        <v>0</v>
      </c>
      <c r="N86" s="58">
        <f t="shared" si="118"/>
        <v>116.94499999999999</v>
      </c>
      <c r="O86" s="58">
        <f t="shared" si="118"/>
        <v>0</v>
      </c>
      <c r="P86" s="58">
        <f t="shared" si="118"/>
        <v>15.1</v>
      </c>
      <c r="Q86" s="58">
        <f t="shared" si="118"/>
        <v>123.24</v>
      </c>
      <c r="R86" s="58">
        <f t="shared" si="118"/>
        <v>41.055</v>
      </c>
      <c r="S86" s="58">
        <f t="shared" si="118"/>
        <v>28.14</v>
      </c>
      <c r="T86" s="58">
        <f t="shared" si="118"/>
        <v>0</v>
      </c>
      <c r="U86" s="70">
        <f t="shared" si="118"/>
        <v>0</v>
      </c>
      <c r="V86" s="58">
        <f t="shared" si="118"/>
        <v>0</v>
      </c>
      <c r="W86" s="58">
        <f t="shared" si="118"/>
        <v>0</v>
      </c>
      <c r="X86" s="58">
        <f t="shared" si="118"/>
        <v>60</v>
      </c>
      <c r="Y86" s="58">
        <f t="shared" si="118"/>
        <v>0</v>
      </c>
      <c r="Z86" s="58">
        <f t="shared" si="118"/>
        <v>140</v>
      </c>
      <c r="AA86" s="58">
        <f t="shared" si="118"/>
        <v>0</v>
      </c>
      <c r="AB86" s="58">
        <f t="shared" si="118"/>
        <v>0</v>
      </c>
      <c r="AC86" s="58">
        <f t="shared" si="118"/>
        <v>0</v>
      </c>
      <c r="AD86" s="58">
        <f t="shared" si="118"/>
        <v>0</v>
      </c>
      <c r="AE86" s="58">
        <f t="shared" si="118"/>
        <v>0</v>
      </c>
      <c r="AF86" s="58">
        <f t="shared" si="118"/>
        <v>0</v>
      </c>
      <c r="AG86" s="58">
        <f t="shared" si="118"/>
        <v>0</v>
      </c>
      <c r="AH86" s="296"/>
      <c r="AI86" s="23"/>
    </row>
    <row r="87" spans="1:35" s="21" customFormat="1" ht="45.75" hidden="1" customHeight="1" x14ac:dyDescent="0.25">
      <c r="A87" s="127"/>
      <c r="B87" s="546"/>
      <c r="C87" s="126" t="s">
        <v>52</v>
      </c>
      <c r="D87" s="74">
        <f>SUM(J87,L87,N87,P87,R87,T87,V87,X87,Z87,AB87,AD87,AF87)</f>
        <v>0</v>
      </c>
      <c r="E87" s="62">
        <f>J87</f>
        <v>0</v>
      </c>
      <c r="F87" s="62">
        <f>G87</f>
        <v>0</v>
      </c>
      <c r="G87" s="62">
        <f>SUM(K87,M87,O87,Q87,S87,U87,W87,Y87,AA87,AC87,AE87,AG87)</f>
        <v>0</v>
      </c>
      <c r="H87" s="62">
        <f t="shared" si="107"/>
        <v>0</v>
      </c>
      <c r="I87" s="62">
        <f t="shared" si="108"/>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97"/>
      <c r="AI87" s="23"/>
    </row>
    <row r="88" spans="1:35" s="21" customFormat="1" ht="50.25" hidden="1" customHeight="1" x14ac:dyDescent="0.25">
      <c r="A88" s="127"/>
      <c r="B88" s="546"/>
      <c r="C88" s="126" t="s">
        <v>22</v>
      </c>
      <c r="D88" s="74">
        <f>SUM(J88,L88,N88,P88,R88,T88,V88,X88,Z88,AB88,AD88,AF88)</f>
        <v>0</v>
      </c>
      <c r="E88" s="62">
        <f>J88</f>
        <v>0</v>
      </c>
      <c r="F88" s="62">
        <f>G88</f>
        <v>0</v>
      </c>
      <c r="G88" s="62">
        <f>SUM(K88,M88,O88,Q88,S88,U88,W88,Y88,AA88,AC88,AE88,AG88)</f>
        <v>0</v>
      </c>
      <c r="H88" s="62">
        <f t="shared" si="107"/>
        <v>0</v>
      </c>
      <c r="I88" s="62">
        <f t="shared" si="108"/>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595"/>
      <c r="C89" s="126" t="s">
        <v>21</v>
      </c>
      <c r="D89" s="74">
        <f>SUM(J89,L89,N89,P89,R89,T89,V89,X89,Z89,AB89,AD89,AF89)</f>
        <v>373.1</v>
      </c>
      <c r="E89" s="62">
        <f>J89+L89+N89+P89+R89+T89+V89+X89</f>
        <v>233.1</v>
      </c>
      <c r="F89" s="62">
        <v>116.95</v>
      </c>
      <c r="G89" s="62">
        <f>SUM(K89,M89,O89,Q89,S89,U89,W89,Y89,AA89,AC89,AE89,AG89)</f>
        <v>151.38</v>
      </c>
      <c r="H89" s="62">
        <f t="shared" si="107"/>
        <v>40.573572768694717</v>
      </c>
      <c r="I89" s="62">
        <f t="shared" si="108"/>
        <v>64.942084942084946</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0</v>
      </c>
      <c r="AB89" s="67">
        <v>0</v>
      </c>
      <c r="AC89" s="67">
        <v>0</v>
      </c>
      <c r="AD89" s="67">
        <v>0</v>
      </c>
      <c r="AE89" s="67">
        <v>0</v>
      </c>
      <c r="AF89" s="67">
        <v>0</v>
      </c>
      <c r="AG89" s="67">
        <v>0</v>
      </c>
      <c r="AH89" s="300" t="s">
        <v>395</v>
      </c>
      <c r="AI89" s="20"/>
    </row>
    <row r="90" spans="1:35" s="21" customFormat="1" ht="69.75" customHeight="1" x14ac:dyDescent="0.25">
      <c r="A90" s="127"/>
      <c r="B90" s="545" t="s">
        <v>143</v>
      </c>
      <c r="C90" s="125" t="s">
        <v>20</v>
      </c>
      <c r="D90" s="70">
        <f>D92+D93+D91</f>
        <v>74</v>
      </c>
      <c r="E90" s="58">
        <f>E92+E93+E91</f>
        <v>74</v>
      </c>
      <c r="F90" s="58">
        <f>F92+F93+F91</f>
        <v>74</v>
      </c>
      <c r="G90" s="58">
        <f>G92+G93+G91</f>
        <v>74</v>
      </c>
      <c r="H90" s="58">
        <f t="shared" si="107"/>
        <v>100</v>
      </c>
      <c r="I90" s="58">
        <f t="shared" si="108"/>
        <v>100</v>
      </c>
      <c r="J90" s="58">
        <f t="shared" ref="J90:AG90" si="119">J92+J93+J91</f>
        <v>0</v>
      </c>
      <c r="K90" s="58">
        <f t="shared" si="119"/>
        <v>0</v>
      </c>
      <c r="L90" s="58">
        <f t="shared" si="119"/>
        <v>0</v>
      </c>
      <c r="M90" s="58">
        <f t="shared" si="119"/>
        <v>0</v>
      </c>
      <c r="N90" s="58">
        <f t="shared" si="119"/>
        <v>0</v>
      </c>
      <c r="O90" s="58">
        <f t="shared" si="119"/>
        <v>0</v>
      </c>
      <c r="P90" s="58">
        <f t="shared" si="119"/>
        <v>0</v>
      </c>
      <c r="Q90" s="58">
        <f t="shared" si="119"/>
        <v>0</v>
      </c>
      <c r="R90" s="58">
        <f t="shared" si="119"/>
        <v>0</v>
      </c>
      <c r="S90" s="58">
        <f t="shared" si="119"/>
        <v>0</v>
      </c>
      <c r="T90" s="58">
        <f t="shared" si="119"/>
        <v>0</v>
      </c>
      <c r="U90" s="70">
        <f t="shared" si="119"/>
        <v>0</v>
      </c>
      <c r="V90" s="58">
        <f t="shared" si="119"/>
        <v>74</v>
      </c>
      <c r="W90" s="58">
        <f t="shared" si="119"/>
        <v>0</v>
      </c>
      <c r="X90" s="58">
        <f t="shared" si="119"/>
        <v>0</v>
      </c>
      <c r="Y90" s="58">
        <f t="shared" si="119"/>
        <v>74</v>
      </c>
      <c r="Z90" s="58">
        <f t="shared" si="119"/>
        <v>0</v>
      </c>
      <c r="AA90" s="58">
        <f t="shared" si="119"/>
        <v>0</v>
      </c>
      <c r="AB90" s="58">
        <f t="shared" si="119"/>
        <v>0</v>
      </c>
      <c r="AC90" s="58">
        <f t="shared" si="119"/>
        <v>0</v>
      </c>
      <c r="AD90" s="58">
        <f t="shared" si="119"/>
        <v>0</v>
      </c>
      <c r="AE90" s="58">
        <f t="shared" si="119"/>
        <v>0</v>
      </c>
      <c r="AF90" s="58">
        <f t="shared" si="119"/>
        <v>0</v>
      </c>
      <c r="AG90" s="58">
        <f t="shared" si="119"/>
        <v>0</v>
      </c>
      <c r="AH90" s="60"/>
      <c r="AI90" s="23"/>
    </row>
    <row r="91" spans="1:35" s="21" customFormat="1" ht="27" hidden="1" customHeight="1" x14ac:dyDescent="0.25">
      <c r="A91" s="127"/>
      <c r="B91" s="546"/>
      <c r="C91" s="126" t="s">
        <v>52</v>
      </c>
      <c r="D91" s="74">
        <f>SUM(J91,L91,N91,P91,R91,T91,V91,X91,Z91,AB91,AD91,AF91)</f>
        <v>0</v>
      </c>
      <c r="E91" s="62">
        <f>J91</f>
        <v>0</v>
      </c>
      <c r="F91" s="62">
        <f>G91</f>
        <v>0</v>
      </c>
      <c r="G91" s="62">
        <f>SUM(K91,M91,O91,Q91,S91,U91,W91,Y91,AA91,AC91,AE91,AG91)</f>
        <v>0</v>
      </c>
      <c r="H91" s="62">
        <f t="shared" si="107"/>
        <v>0</v>
      </c>
      <c r="I91" s="62">
        <f t="shared" si="108"/>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546"/>
      <c r="C92" s="126" t="s">
        <v>22</v>
      </c>
      <c r="D92" s="74">
        <f>SUM(J92,L92,N92,P92,R92,T92,V92,X92,Z92,AB92,AD92,AF92)</f>
        <v>74</v>
      </c>
      <c r="E92" s="62">
        <f>J92+L92+N92+P92+R92+T92+V92+X92</f>
        <v>74</v>
      </c>
      <c r="F92" s="62">
        <f>G92</f>
        <v>74</v>
      </c>
      <c r="G92" s="62">
        <f>SUM(K92,M92,O92,Q92,S92,U92,W92,Y92,AA92,AC92,AE92,AG92)</f>
        <v>74</v>
      </c>
      <c r="H92" s="62">
        <f t="shared" si="107"/>
        <v>100</v>
      </c>
      <c r="I92" s="62">
        <f t="shared" si="108"/>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425"/>
      <c r="AI92" s="23"/>
    </row>
    <row r="93" spans="1:35" s="22" customFormat="1" ht="37.5" hidden="1" customHeight="1" x14ac:dyDescent="0.25">
      <c r="A93" s="128"/>
      <c r="B93" s="595"/>
      <c r="C93" s="126" t="s">
        <v>21</v>
      </c>
      <c r="D93" s="74">
        <f>SUM(J93,L93,N93,P93,R93,T93,V93,X93,Z93,AB93,AD93,AF93)</f>
        <v>0</v>
      </c>
      <c r="E93" s="62">
        <f>J93</f>
        <v>0</v>
      </c>
      <c r="F93" s="62">
        <f>G93</f>
        <v>0</v>
      </c>
      <c r="G93" s="62">
        <f>SUM(K93,M93,O93,Q93,S93,U93,W93,Y93,AA93,AC93,AE93,AG93)</f>
        <v>0</v>
      </c>
      <c r="H93" s="62">
        <f t="shared" si="107"/>
        <v>0</v>
      </c>
      <c r="I93" s="62">
        <f t="shared" si="108"/>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96" t="s">
        <v>32</v>
      </c>
      <c r="C94" s="597"/>
      <c r="D94" s="597"/>
      <c r="E94" s="597"/>
      <c r="F94" s="597"/>
      <c r="G94" s="597"/>
      <c r="H94" s="597"/>
      <c r="I94" s="597"/>
      <c r="J94" s="597"/>
      <c r="K94" s="597"/>
      <c r="L94" s="597"/>
      <c r="M94" s="597"/>
      <c r="N94" s="597"/>
      <c r="O94" s="597"/>
      <c r="P94" s="597"/>
      <c r="Q94" s="597"/>
      <c r="R94" s="597"/>
      <c r="S94" s="597"/>
      <c r="T94" s="597"/>
      <c r="U94" s="597"/>
      <c r="V94" s="597"/>
      <c r="W94" s="597"/>
      <c r="X94" s="597"/>
      <c r="Y94" s="597"/>
      <c r="Z94" s="597"/>
      <c r="AA94" s="597"/>
      <c r="AB94" s="597"/>
      <c r="AC94" s="597"/>
      <c r="AD94" s="597"/>
      <c r="AE94" s="597"/>
      <c r="AF94" s="597"/>
      <c r="AG94" s="598"/>
      <c r="AH94" s="43"/>
      <c r="AI94" s="27"/>
    </row>
    <row r="95" spans="1:35" s="30" customFormat="1" ht="27" customHeight="1" x14ac:dyDescent="0.25">
      <c r="A95" s="508" t="s">
        <v>144</v>
      </c>
      <c r="B95" s="559" t="s">
        <v>34</v>
      </c>
      <c r="C95" s="123" t="s">
        <v>20</v>
      </c>
      <c r="D95" s="70">
        <f>D96</f>
        <v>21816.600000000002</v>
      </c>
      <c r="E95" s="70">
        <f t="shared" ref="E95:G95" si="120">E96</f>
        <v>6086.3950000000004</v>
      </c>
      <c r="F95" s="70">
        <f t="shared" si="120"/>
        <v>11839.338000000002</v>
      </c>
      <c r="G95" s="70">
        <f t="shared" si="120"/>
        <v>11839.338000000002</v>
      </c>
      <c r="H95" s="70">
        <f t="shared" ref="H95:H100" si="121">IFERROR(G95/D95*100,0)</f>
        <v>54.267566898600151</v>
      </c>
      <c r="I95" s="70">
        <f t="shared" ref="I95:I100" si="122">IFERROR(G95/E95*100,0)</f>
        <v>194.52135459496139</v>
      </c>
      <c r="J95" s="71">
        <f t="shared" ref="J95:AG95" si="123">SUM(J96:J96)</f>
        <v>2916.2530000000002</v>
      </c>
      <c r="K95" s="71">
        <f t="shared" si="123"/>
        <v>1475.0439999999999</v>
      </c>
      <c r="L95" s="71">
        <f t="shared" si="123"/>
        <v>1881.5260000000001</v>
      </c>
      <c r="M95" s="71">
        <f t="shared" si="123"/>
        <v>1862.3879999999999</v>
      </c>
      <c r="N95" s="71">
        <f t="shared" si="123"/>
        <v>1288.616</v>
      </c>
      <c r="O95" s="71">
        <f t="shared" si="123"/>
        <v>1366.248</v>
      </c>
      <c r="P95" s="71">
        <f t="shared" si="123"/>
        <v>2319.4009999999998</v>
      </c>
      <c r="Q95" s="71">
        <f t="shared" si="123"/>
        <v>1388.0309999999999</v>
      </c>
      <c r="R95" s="71">
        <f t="shared" si="123"/>
        <v>1762.9559999999999</v>
      </c>
      <c r="S95" s="71">
        <f t="shared" si="123"/>
        <v>1402.433</v>
      </c>
      <c r="T95" s="71">
        <f t="shared" si="123"/>
        <v>1277.116</v>
      </c>
      <c r="U95" s="71">
        <f t="shared" si="123"/>
        <v>1305.3130000000001</v>
      </c>
      <c r="V95" s="71">
        <f t="shared" si="123"/>
        <v>2302.4009999999998</v>
      </c>
      <c r="W95" s="71">
        <f t="shared" si="123"/>
        <v>1538.78</v>
      </c>
      <c r="X95" s="71">
        <f t="shared" si="123"/>
        <v>1713.3559999999998</v>
      </c>
      <c r="Y95" s="71">
        <f t="shared" si="123"/>
        <v>1501.1010000000001</v>
      </c>
      <c r="Z95" s="71">
        <f t="shared" si="123"/>
        <v>1305.5160000000001</v>
      </c>
      <c r="AA95" s="71">
        <f t="shared" si="123"/>
        <v>0</v>
      </c>
      <c r="AB95" s="71">
        <f t="shared" si="123"/>
        <v>1875.759</v>
      </c>
      <c r="AC95" s="71">
        <f t="shared" si="123"/>
        <v>0</v>
      </c>
      <c r="AD95" s="71">
        <f t="shared" si="123"/>
        <v>1587.0360000000001</v>
      </c>
      <c r="AE95" s="71">
        <f t="shared" si="123"/>
        <v>0</v>
      </c>
      <c r="AF95" s="71">
        <f t="shared" si="123"/>
        <v>1586.6640000000002</v>
      </c>
      <c r="AG95" s="71">
        <f t="shared" si="123"/>
        <v>0</v>
      </c>
      <c r="AH95" s="72"/>
      <c r="AI95" s="29"/>
    </row>
    <row r="96" spans="1:35" s="31" customFormat="1" ht="72" customHeight="1" x14ac:dyDescent="0.25">
      <c r="A96" s="509"/>
      <c r="B96" s="561"/>
      <c r="C96" s="124" t="s">
        <v>21</v>
      </c>
      <c r="D96" s="74">
        <f>SUM(J96,L96,N96,P96,R96,T96,V96,X96,Z96,AB96,AD96,AF96)</f>
        <v>21816.600000000002</v>
      </c>
      <c r="E96" s="74">
        <f>J96+L96+N96</f>
        <v>6086.3950000000004</v>
      </c>
      <c r="F96" s="74">
        <f>G96</f>
        <v>11839.338000000002</v>
      </c>
      <c r="G96" s="74">
        <f>SUM(K96,M96,O96,Q96,S96,U96,W96,Y96,AA96,AC96,AE96,AG96)</f>
        <v>11839.338000000002</v>
      </c>
      <c r="H96" s="74">
        <f t="shared" si="121"/>
        <v>54.267566898600151</v>
      </c>
      <c r="I96" s="74">
        <f t="shared" si="122"/>
        <v>194.52135459496139</v>
      </c>
      <c r="J96" s="67">
        <f>J98+J100</f>
        <v>2916.2530000000002</v>
      </c>
      <c r="K96" s="67">
        <f t="shared" ref="K96:AG96" si="124">K98+K100</f>
        <v>1475.0439999999999</v>
      </c>
      <c r="L96" s="67">
        <f t="shared" si="124"/>
        <v>1881.5260000000001</v>
      </c>
      <c r="M96" s="67">
        <f t="shared" si="124"/>
        <v>1862.3879999999999</v>
      </c>
      <c r="N96" s="67">
        <f t="shared" si="124"/>
        <v>1288.616</v>
      </c>
      <c r="O96" s="67">
        <f t="shared" si="124"/>
        <v>1366.248</v>
      </c>
      <c r="P96" s="67">
        <f t="shared" si="124"/>
        <v>2319.4009999999998</v>
      </c>
      <c r="Q96" s="67">
        <f t="shared" si="124"/>
        <v>1388.0309999999999</v>
      </c>
      <c r="R96" s="67">
        <f t="shared" si="124"/>
        <v>1762.9559999999999</v>
      </c>
      <c r="S96" s="67">
        <f t="shared" si="124"/>
        <v>1402.433</v>
      </c>
      <c r="T96" s="67">
        <f t="shared" si="124"/>
        <v>1277.116</v>
      </c>
      <c r="U96" s="67">
        <f t="shared" si="124"/>
        <v>1305.3130000000001</v>
      </c>
      <c r="V96" s="67">
        <f t="shared" si="124"/>
        <v>2302.4009999999998</v>
      </c>
      <c r="W96" s="67">
        <f t="shared" si="124"/>
        <v>1538.78</v>
      </c>
      <c r="X96" s="67">
        <f t="shared" si="124"/>
        <v>1713.3559999999998</v>
      </c>
      <c r="Y96" s="67">
        <f t="shared" si="124"/>
        <v>1501.1010000000001</v>
      </c>
      <c r="Z96" s="67">
        <f t="shared" si="124"/>
        <v>1305.5160000000001</v>
      </c>
      <c r="AA96" s="67">
        <f t="shared" si="124"/>
        <v>0</v>
      </c>
      <c r="AB96" s="67">
        <f t="shared" si="124"/>
        <v>1875.759</v>
      </c>
      <c r="AC96" s="67">
        <f t="shared" si="124"/>
        <v>0</v>
      </c>
      <c r="AD96" s="67">
        <f t="shared" si="124"/>
        <v>1587.0360000000001</v>
      </c>
      <c r="AE96" s="67">
        <f t="shared" si="124"/>
        <v>0</v>
      </c>
      <c r="AF96" s="67">
        <f t="shared" si="124"/>
        <v>1586.6640000000002</v>
      </c>
      <c r="AG96" s="67">
        <f t="shared" si="124"/>
        <v>0</v>
      </c>
      <c r="AH96" s="75"/>
      <c r="AI96" s="29"/>
    </row>
    <row r="97" spans="1:34" s="10" customFormat="1" ht="30.75" customHeight="1" x14ac:dyDescent="0.25">
      <c r="A97" s="508"/>
      <c r="B97" s="545" t="s">
        <v>145</v>
      </c>
      <c r="C97" s="123" t="s">
        <v>20</v>
      </c>
      <c r="D97" s="70">
        <f>D98</f>
        <v>14313.699999999999</v>
      </c>
      <c r="E97" s="70">
        <f t="shared" ref="E97:G97" si="125">E98</f>
        <v>3973.5110000000004</v>
      </c>
      <c r="F97" s="70">
        <f t="shared" si="125"/>
        <v>7311.0349999999999</v>
      </c>
      <c r="G97" s="70">
        <f t="shared" si="125"/>
        <v>7311.0349999999999</v>
      </c>
      <c r="H97" s="70">
        <f t="shared" si="121"/>
        <v>51.077184794986621</v>
      </c>
      <c r="I97" s="70">
        <f t="shared" si="122"/>
        <v>183.99433146152106</v>
      </c>
      <c r="J97" s="71">
        <f t="shared" ref="J97:AG97" si="126">SUM(J98:J98)</f>
        <v>1883.9490000000001</v>
      </c>
      <c r="K97" s="71">
        <f t="shared" si="126"/>
        <v>950.77800000000002</v>
      </c>
      <c r="L97" s="71">
        <f t="shared" si="126"/>
        <v>1239.9770000000001</v>
      </c>
      <c r="M97" s="71">
        <f t="shared" si="126"/>
        <v>1210.4349999999999</v>
      </c>
      <c r="N97" s="71">
        <f t="shared" si="126"/>
        <v>849.58500000000004</v>
      </c>
      <c r="O97" s="71">
        <f t="shared" si="126"/>
        <v>903.56600000000003</v>
      </c>
      <c r="P97" s="71">
        <f t="shared" si="126"/>
        <v>1540.096</v>
      </c>
      <c r="Q97" s="71">
        <f t="shared" si="126"/>
        <v>888.25900000000001</v>
      </c>
      <c r="R97" s="71">
        <f t="shared" si="126"/>
        <v>1128.2829999999999</v>
      </c>
      <c r="S97" s="71">
        <f t="shared" si="126"/>
        <v>846.55100000000004</v>
      </c>
      <c r="T97" s="71">
        <f t="shared" si="126"/>
        <v>838.08500000000004</v>
      </c>
      <c r="U97" s="71">
        <f t="shared" si="126"/>
        <v>954.60500000000002</v>
      </c>
      <c r="V97" s="71">
        <f t="shared" si="126"/>
        <v>1523.096</v>
      </c>
      <c r="W97" s="71">
        <f t="shared" si="126"/>
        <v>830.48699999999997</v>
      </c>
      <c r="X97" s="71">
        <f t="shared" si="126"/>
        <v>1128.2829999999999</v>
      </c>
      <c r="Y97" s="71">
        <f t="shared" si="126"/>
        <v>726.35400000000004</v>
      </c>
      <c r="Z97" s="71">
        <f t="shared" si="126"/>
        <v>838.08500000000004</v>
      </c>
      <c r="AA97" s="71">
        <f t="shared" si="126"/>
        <v>0</v>
      </c>
      <c r="AB97" s="71">
        <f t="shared" si="126"/>
        <v>1236.5909999999999</v>
      </c>
      <c r="AC97" s="71">
        <f t="shared" si="126"/>
        <v>0</v>
      </c>
      <c r="AD97" s="71">
        <f t="shared" si="126"/>
        <v>1045.684</v>
      </c>
      <c r="AE97" s="71">
        <f t="shared" si="126"/>
        <v>0</v>
      </c>
      <c r="AF97" s="71">
        <f t="shared" si="126"/>
        <v>1061.9860000000001</v>
      </c>
      <c r="AG97" s="71">
        <f t="shared" si="126"/>
        <v>0</v>
      </c>
      <c r="AH97" s="72"/>
    </row>
    <row r="98" spans="1:34" s="10" customFormat="1" ht="41.25" customHeight="1" x14ac:dyDescent="0.25">
      <c r="A98" s="509"/>
      <c r="B98" s="546"/>
      <c r="C98" s="124" t="s">
        <v>21</v>
      </c>
      <c r="D98" s="74">
        <f>SUM(J98,L98,N98,P98,R98,T98,V98,X98,Z98,AB98,AD98,AF98)</f>
        <v>14313.699999999999</v>
      </c>
      <c r="E98" s="74">
        <f>J98+L98+N98</f>
        <v>3973.5110000000004</v>
      </c>
      <c r="F98" s="74">
        <f>G98</f>
        <v>7311.0349999999999</v>
      </c>
      <c r="G98" s="74">
        <f>SUM(K98,M98,O98,Q98,S98,U98,W98,Y98,AA98,AC98,AE98,AG98)</f>
        <v>7311.0349999999999</v>
      </c>
      <c r="H98" s="74">
        <f t="shared" si="121"/>
        <v>51.077184794986621</v>
      </c>
      <c r="I98" s="74">
        <f t="shared" si="122"/>
        <v>183.99433146152106</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0</v>
      </c>
      <c r="AB98" s="67">
        <v>1236.5909999999999</v>
      </c>
      <c r="AC98" s="67">
        <v>0</v>
      </c>
      <c r="AD98" s="67">
        <v>1045.684</v>
      </c>
      <c r="AE98" s="67">
        <v>0</v>
      </c>
      <c r="AF98" s="67">
        <v>1061.9860000000001</v>
      </c>
      <c r="AG98" s="67">
        <v>0</v>
      </c>
      <c r="AH98" s="75"/>
    </row>
    <row r="99" spans="1:34" s="10" customFormat="1" ht="23.25" customHeight="1" x14ac:dyDescent="0.25">
      <c r="A99" s="508"/>
      <c r="B99" s="510" t="s">
        <v>146</v>
      </c>
      <c r="C99" s="123" t="s">
        <v>20</v>
      </c>
      <c r="D99" s="70">
        <f>D100</f>
        <v>7502.9</v>
      </c>
      <c r="E99" s="70">
        <f t="shared" ref="E99:G99" si="127">E100</f>
        <v>2112.884</v>
      </c>
      <c r="F99" s="70">
        <f t="shared" si="127"/>
        <v>4528.3030000000008</v>
      </c>
      <c r="G99" s="70">
        <f t="shared" si="127"/>
        <v>4528.3030000000008</v>
      </c>
      <c r="H99" s="70">
        <f t="shared" si="121"/>
        <v>60.354036439243508</v>
      </c>
      <c r="I99" s="70">
        <f t="shared" si="122"/>
        <v>214.3185806698333</v>
      </c>
      <c r="J99" s="71">
        <f t="shared" ref="J99:AG99" si="128">SUM(J100:J100)</f>
        <v>1032.3040000000001</v>
      </c>
      <c r="K99" s="71">
        <f t="shared" si="128"/>
        <v>524.26599999999996</v>
      </c>
      <c r="L99" s="71">
        <f t="shared" si="128"/>
        <v>641.54899999999998</v>
      </c>
      <c r="M99" s="71">
        <f t="shared" si="128"/>
        <v>651.95299999999997</v>
      </c>
      <c r="N99" s="71">
        <f t="shared" si="128"/>
        <v>439.03100000000001</v>
      </c>
      <c r="O99" s="71">
        <f t="shared" si="128"/>
        <v>462.68200000000002</v>
      </c>
      <c r="P99" s="71">
        <f t="shared" si="128"/>
        <v>779.30499999999995</v>
      </c>
      <c r="Q99" s="71">
        <f t="shared" si="128"/>
        <v>499.77199999999999</v>
      </c>
      <c r="R99" s="71">
        <f t="shared" si="128"/>
        <v>634.673</v>
      </c>
      <c r="S99" s="71">
        <f t="shared" si="128"/>
        <v>555.88199999999995</v>
      </c>
      <c r="T99" s="71">
        <f t="shared" si="128"/>
        <v>439.03100000000001</v>
      </c>
      <c r="U99" s="71">
        <f t="shared" si="128"/>
        <v>350.70800000000003</v>
      </c>
      <c r="V99" s="71">
        <f t="shared" si="128"/>
        <v>779.30499999999995</v>
      </c>
      <c r="W99" s="71">
        <f t="shared" si="128"/>
        <v>708.29300000000001</v>
      </c>
      <c r="X99" s="71">
        <f t="shared" si="128"/>
        <v>585.07299999999998</v>
      </c>
      <c r="Y99" s="71">
        <f t="shared" si="128"/>
        <v>774.74699999999996</v>
      </c>
      <c r="Z99" s="71">
        <f t="shared" si="128"/>
        <v>467.43099999999998</v>
      </c>
      <c r="AA99" s="71">
        <f t="shared" si="128"/>
        <v>0</v>
      </c>
      <c r="AB99" s="71">
        <f t="shared" si="128"/>
        <v>639.16800000000001</v>
      </c>
      <c r="AC99" s="71">
        <f t="shared" si="128"/>
        <v>0</v>
      </c>
      <c r="AD99" s="71">
        <f t="shared" si="128"/>
        <v>541.35199999999998</v>
      </c>
      <c r="AE99" s="71">
        <f t="shared" si="128"/>
        <v>0</v>
      </c>
      <c r="AF99" s="71">
        <f t="shared" si="128"/>
        <v>524.678</v>
      </c>
      <c r="AG99" s="71">
        <f t="shared" si="128"/>
        <v>0</v>
      </c>
      <c r="AH99" s="72"/>
    </row>
    <row r="100" spans="1:34" s="10" customFormat="1" ht="40.5" customHeight="1" x14ac:dyDescent="0.25">
      <c r="A100" s="509"/>
      <c r="B100" s="510"/>
      <c r="C100" s="124" t="s">
        <v>21</v>
      </c>
      <c r="D100" s="74">
        <f>SUM(J100,L100,N100,P100,R100,T100,V100,X100,Z100,AB100,AD100,AF100)</f>
        <v>7502.9</v>
      </c>
      <c r="E100" s="74">
        <f>J100+L100+N100</f>
        <v>2112.884</v>
      </c>
      <c r="F100" s="74">
        <f>G100</f>
        <v>4528.3030000000008</v>
      </c>
      <c r="G100" s="74">
        <f>SUM(K100,M100,O100,Q100,S100,U100,W100,Y100,AA100,AC100,AE100,AG100)</f>
        <v>4528.3030000000008</v>
      </c>
      <c r="H100" s="74">
        <f t="shared" si="121"/>
        <v>60.354036439243508</v>
      </c>
      <c r="I100" s="74">
        <f t="shared" si="122"/>
        <v>214.3185806698333</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0</v>
      </c>
      <c r="AB100" s="67">
        <v>639.16800000000001</v>
      </c>
      <c r="AC100" s="67">
        <v>0</v>
      </c>
      <c r="AD100" s="67">
        <v>541.35199999999998</v>
      </c>
      <c r="AE100" s="67">
        <v>0</v>
      </c>
      <c r="AF100" s="67">
        <v>524.678</v>
      </c>
      <c r="AG100" s="67">
        <v>0</v>
      </c>
      <c r="AH100" s="75"/>
    </row>
  </sheetData>
  <customSheetViews>
    <customSheetView guid="{133BB3F8-8DD4-4AEF-8CD6-A5FB14681329}" scale="8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3"/>
    </customSheetView>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8"/>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9"/>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10"/>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11"/>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13"/>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6"/>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7"/>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1"/>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22"/>
    </customSheetView>
    <customSheetView guid="{2940A182-D1A7-43C5-8D6E-965BED4371B0}" scale="75" hiddenRows="1" hiddenColumns="1">
      <pane xSplit="5" ySplit="7" topLeftCell="G8" activePane="bottomRight" state="frozen"/>
      <selection pane="bottomRight" activeCell="AH94" sqref="AH94"/>
      <pageMargins left="0.7" right="0.7" top="0.75" bottom="0.75" header="0.3" footer="0.3"/>
      <pageSetup paperSize="9" orientation="portrait" r:id="rId23"/>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24"/>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25"/>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6"/>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27"/>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28"/>
    </customSheetView>
  </customSheetViews>
  <mergeCells count="7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A18:A21"/>
    <mergeCell ref="B18:B21"/>
    <mergeCell ref="A22:A25"/>
    <mergeCell ref="B22:B25"/>
    <mergeCell ref="A26:A29"/>
    <mergeCell ref="B26:B29"/>
    <mergeCell ref="A30:A33"/>
    <mergeCell ref="B30:B33"/>
    <mergeCell ref="A34:A36"/>
    <mergeCell ref="B34:B36"/>
    <mergeCell ref="A37:A39"/>
    <mergeCell ref="B37:B39"/>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67:A69"/>
    <mergeCell ref="B67:B69"/>
    <mergeCell ref="B70:B71"/>
    <mergeCell ref="A74:A76"/>
    <mergeCell ref="B74:B76"/>
    <mergeCell ref="B72:B73"/>
    <mergeCell ref="A77:A79"/>
    <mergeCell ref="B77:B79"/>
    <mergeCell ref="A80:A81"/>
    <mergeCell ref="B80:B81"/>
    <mergeCell ref="A97:A98"/>
    <mergeCell ref="B97:B98"/>
    <mergeCell ref="A99:A100"/>
    <mergeCell ref="B99:B100"/>
    <mergeCell ref="A82:A85"/>
    <mergeCell ref="B82:B85"/>
    <mergeCell ref="B86:B89"/>
    <mergeCell ref="B90:B93"/>
    <mergeCell ref="B94:AG94"/>
    <mergeCell ref="A95:A96"/>
    <mergeCell ref="B95:B96"/>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0" customHeight="1" x14ac:dyDescent="0.25">
      <c r="A3" s="55"/>
      <c r="B3" s="55"/>
      <c r="C3" s="567" t="s">
        <v>273</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6"/>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99"/>
      <c r="B8" s="559" t="s">
        <v>23</v>
      </c>
      <c r="C8" s="123" t="s">
        <v>20</v>
      </c>
      <c r="D8" s="70">
        <f>D9+D10+D12+D11</f>
        <v>390435.25400000002</v>
      </c>
      <c r="E8" s="70">
        <f t="shared" ref="E8:G8" si="0">E9+E10+E12+E11</f>
        <v>42485.101000000002</v>
      </c>
      <c r="F8" s="70">
        <f t="shared" si="0"/>
        <v>232285.11500000002</v>
      </c>
      <c r="G8" s="70">
        <f t="shared" si="0"/>
        <v>232285.11500000002</v>
      </c>
      <c r="H8" s="70">
        <f>IFERROR(G8/D8*100,0)</f>
        <v>59.493888582100226</v>
      </c>
      <c r="I8" s="70">
        <f>IFERROR(G8/E8*100,0)</f>
        <v>546.74488122318451</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5"/>
    </row>
    <row r="9" spans="1:35" s="26" customFormat="1" ht="26.25" hidden="1" customHeight="1" x14ac:dyDescent="0.25">
      <c r="A9" s="600"/>
      <c r="B9" s="560"/>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600"/>
      <c r="B10" s="560"/>
      <c r="C10" s="124" t="s">
        <v>22</v>
      </c>
      <c r="D10" s="74">
        <f t="shared" ref="D10:D12" si="5">J10+L10+N10+P10+R10+T10+V10+X10+Z10+AB10+AD10+AF10</f>
        <v>17226.5</v>
      </c>
      <c r="E10" s="74">
        <f t="shared" ref="E10:E12" si="6">J10</f>
        <v>0</v>
      </c>
      <c r="F10" s="74">
        <f t="shared" ref="F10:F12" si="7">G10</f>
        <v>9792.01</v>
      </c>
      <c r="G10" s="74">
        <f t="shared" ref="G10:G12" si="8">K10+M10+O10+Q10+S10+U10+W10+Y10+AA10+AC10+AE10+AG10</f>
        <v>9792.01</v>
      </c>
      <c r="H10" s="74">
        <f>IFERROR(G10/D10*100,0)</f>
        <v>56.842713261544716</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600"/>
      <c r="B11" s="560"/>
      <c r="C11" s="124" t="s">
        <v>21</v>
      </c>
      <c r="D11" s="74">
        <f t="shared" si="5"/>
        <v>332753.152</v>
      </c>
      <c r="E11" s="74">
        <f t="shared" si="6"/>
        <v>37802.257000000005</v>
      </c>
      <c r="F11" s="74">
        <f t="shared" si="7"/>
        <v>222493.10500000001</v>
      </c>
      <c r="G11" s="74">
        <f t="shared" si="8"/>
        <v>222493.10500000001</v>
      </c>
      <c r="H11" s="74">
        <f>IFERROR(G11/D11*100,0)</f>
        <v>66.864311776677027</v>
      </c>
      <c r="I11" s="74">
        <f>IFERROR(G11/E11*100,0)</f>
        <v>588.57095490356562</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601"/>
      <c r="B12" s="561"/>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96" t="s">
        <v>274</v>
      </c>
      <c r="C13" s="597"/>
      <c r="D13" s="597"/>
      <c r="E13" s="597"/>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8"/>
      <c r="AH13" s="46"/>
    </row>
    <row r="14" spans="1:35" s="21" customFormat="1" ht="23.25" customHeight="1" x14ac:dyDescent="0.25">
      <c r="A14" s="519" t="s">
        <v>169</v>
      </c>
      <c r="B14" s="514" t="s">
        <v>275</v>
      </c>
      <c r="C14" s="123" t="s">
        <v>20</v>
      </c>
      <c r="D14" s="70">
        <f>D15+D17+D18+D16</f>
        <v>339655.63099999999</v>
      </c>
      <c r="E14" s="70">
        <f t="shared" ref="E14:G14" si="12">E15+E17+E18+E16</f>
        <v>36494.32</v>
      </c>
      <c r="F14" s="70">
        <f t="shared" si="12"/>
        <v>195954.69</v>
      </c>
      <c r="G14" s="70">
        <f t="shared" si="12"/>
        <v>195954.69</v>
      </c>
      <c r="H14" s="70">
        <f t="shared" ref="H14:H77" si="13">IFERROR(G14/D14*100,0)</f>
        <v>57.692165863135656</v>
      </c>
      <c r="I14" s="70">
        <f t="shared" ref="I14:I77" si="14">IFERROR(G14/E14*100,0)</f>
        <v>536.94572196440436</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520"/>
      <c r="B15" s="602"/>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520"/>
      <c r="B16" s="602"/>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520"/>
      <c r="B17" s="602"/>
      <c r="C17" s="124" t="s">
        <v>21</v>
      </c>
      <c r="D17" s="74">
        <f>SUM(J17,L17,N17,P17,R17,T17,V17,X17,Z17,AB17,AD17,AF17)</f>
        <v>296395.32899999997</v>
      </c>
      <c r="E17" s="74">
        <f>J17</f>
        <v>31811.475999999999</v>
      </c>
      <c r="F17" s="74">
        <f>G17</f>
        <v>195433.98</v>
      </c>
      <c r="G17" s="74">
        <f>SUM(K17,M17,O17,Q17,S17,U17,W17,Y17,AA17,AC17,AE17,AG17)</f>
        <v>195433.98</v>
      </c>
      <c r="H17" s="74">
        <f t="shared" si="13"/>
        <v>65.936929795543449</v>
      </c>
      <c r="I17" s="74">
        <f t="shared" si="14"/>
        <v>614.35055701282147</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521"/>
      <c r="B18" s="515"/>
      <c r="C18" s="124" t="s">
        <v>276</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519" t="s">
        <v>277</v>
      </c>
      <c r="B19" s="516" t="s">
        <v>278</v>
      </c>
      <c r="C19" s="123" t="s">
        <v>20</v>
      </c>
      <c r="D19" s="70">
        <f>D20+D21+D22+D23</f>
        <v>336164.23100000003</v>
      </c>
      <c r="E19" s="70">
        <f>E20+E21+E22+E23</f>
        <v>33002.92</v>
      </c>
      <c r="F19" s="70">
        <f>F20+F21+F22+F23</f>
        <v>195954.69</v>
      </c>
      <c r="G19" s="70">
        <f>G20+G21+G22+G23</f>
        <v>195954.69</v>
      </c>
      <c r="H19" s="70">
        <f t="shared" si="13"/>
        <v>58.29135640549454</v>
      </c>
      <c r="I19" s="70">
        <f t="shared" si="14"/>
        <v>593.74955306984964</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520"/>
      <c r="B20" s="517"/>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520"/>
      <c r="B21" s="517"/>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520"/>
      <c r="B22" s="517"/>
      <c r="C22" s="124" t="s">
        <v>21</v>
      </c>
      <c r="D22" s="74">
        <f>SUM(J22,L22,N22,P22,R22,T22,V22,X22,Z22,AB22,AD22,AF22)</f>
        <v>292903.929</v>
      </c>
      <c r="E22" s="74">
        <f>J22</f>
        <v>28320.075999999997</v>
      </c>
      <c r="F22" s="74">
        <f>G22</f>
        <v>195433.98</v>
      </c>
      <c r="G22" s="74">
        <f>SUM(K22,M22,O22,Q22,S22,U22,W22,Y22,AA22,AC22,AE22,AG22)</f>
        <v>195433.98</v>
      </c>
      <c r="H22" s="74">
        <f t="shared" si="13"/>
        <v>66.722894659429443</v>
      </c>
      <c r="I22" s="74">
        <f t="shared" si="14"/>
        <v>690.08988535200274</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521"/>
      <c r="B23" s="528"/>
      <c r="C23" s="124" t="s">
        <v>276</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519"/>
      <c r="B24" s="604" t="s">
        <v>293</v>
      </c>
      <c r="C24" s="123" t="s">
        <v>20</v>
      </c>
      <c r="D24" s="70">
        <f>D25+D26+D27+D28</f>
        <v>20521.998</v>
      </c>
      <c r="E24" s="70">
        <f>E25+E26+E27+E28</f>
        <v>138.387</v>
      </c>
      <c r="F24" s="70">
        <f>F25+F26+F27+F28</f>
        <v>19189.77</v>
      </c>
      <c r="G24" s="70">
        <f>G25+G26+G27+G28</f>
        <v>19189.77</v>
      </c>
      <c r="H24" s="70">
        <f t="shared" si="13"/>
        <v>93.50829290598314</v>
      </c>
      <c r="I24" s="70">
        <f t="shared" si="14"/>
        <v>13866.743263456829</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520"/>
      <c r="B25" s="605"/>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520"/>
      <c r="B26" s="605"/>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520"/>
      <c r="B27" s="605"/>
      <c r="C27" s="124" t="s">
        <v>21</v>
      </c>
      <c r="D27" s="74">
        <f>SUM(J27,L27,N27,P27,R27,T27,V27,X27,Z27,AB27,AD27,AF27)</f>
        <v>20521.998</v>
      </c>
      <c r="E27" s="74">
        <f>J27</f>
        <v>138.387</v>
      </c>
      <c r="F27" s="74">
        <f>G27</f>
        <v>19189.77</v>
      </c>
      <c r="G27" s="74">
        <f>SUM(K27,M27,O27,Q27,S27,U27,W27,Y27,AA27,AC27,AE27,AG27)</f>
        <v>19189.77</v>
      </c>
      <c r="H27" s="74">
        <f t="shared" si="13"/>
        <v>93.50829290598314</v>
      </c>
      <c r="I27" s="74">
        <f>IFERROR(G27/E27*100,0)</f>
        <v>13866.743263456829</v>
      </c>
      <c r="J27" s="67">
        <v>138.387</v>
      </c>
      <c r="K27" s="67">
        <v>19.34</v>
      </c>
      <c r="L27" s="67">
        <v>741.22</v>
      </c>
      <c r="M27" s="263">
        <v>113.09</v>
      </c>
      <c r="N27" s="67">
        <v>276.24599999999998</v>
      </c>
      <c r="O27" s="263">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603"/>
      <c r="B28" s="606"/>
      <c r="C28" s="124" t="s">
        <v>276</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542"/>
      <c r="B29" s="604" t="s">
        <v>294</v>
      </c>
      <c r="C29" s="123" t="s">
        <v>20</v>
      </c>
      <c r="D29" s="70">
        <f>D30+D31+D32+D33</f>
        <v>302494.07899999997</v>
      </c>
      <c r="E29" s="70">
        <f t="shared" ref="E29:G29" si="25">E30+E31+E32+E33</f>
        <v>32779.167000000001</v>
      </c>
      <c r="F29" s="70">
        <f t="shared" si="25"/>
        <v>169108.12</v>
      </c>
      <c r="G29" s="70">
        <f t="shared" si="25"/>
        <v>169108.12</v>
      </c>
      <c r="H29" s="70">
        <f t="shared" si="13"/>
        <v>55.904604995590681</v>
      </c>
      <c r="I29" s="70">
        <f t="shared" si="14"/>
        <v>515.90121249878007</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543"/>
      <c r="B30" s="605"/>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543"/>
      <c r="B31" s="605"/>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543"/>
      <c r="B32" s="605"/>
      <c r="C32" s="124" t="s">
        <v>21</v>
      </c>
      <c r="D32" s="74">
        <f>SUM(J32,L32,N32,P32,R32,T32,V32,X32,Z32,AB32,AD32,AF32)</f>
        <v>262038.47699999996</v>
      </c>
      <c r="E32" s="74">
        <f>J32</f>
        <v>28096.323</v>
      </c>
      <c r="F32" s="74">
        <f>G32</f>
        <v>169108.12</v>
      </c>
      <c r="G32" s="74">
        <f>SUM(K32,M32,O32,Q32,S32,U32,W32,Y32,AA32,AC32,AE32,AG32)</f>
        <v>169108.12</v>
      </c>
      <c r="H32" s="74">
        <f t="shared" si="13"/>
        <v>64.535606349139343</v>
      </c>
      <c r="I32" s="74">
        <f t="shared" si="14"/>
        <v>601.88701560698883</v>
      </c>
      <c r="J32" s="67">
        <f>18103.863+9992.46</f>
        <v>28096.323</v>
      </c>
      <c r="K32" s="67">
        <v>8265.57</v>
      </c>
      <c r="L32" s="67">
        <f>19335.834+5993.974</f>
        <v>25329.807999999997</v>
      </c>
      <c r="M32" s="264">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544"/>
      <c r="B33" s="607"/>
      <c r="C33" s="124" t="s">
        <v>276</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542"/>
      <c r="B34" s="604" t="s">
        <v>295</v>
      </c>
      <c r="C34" s="123" t="s">
        <v>20</v>
      </c>
      <c r="D34" s="70">
        <f>D35+D36+D37+D38</f>
        <v>386.00099999999998</v>
      </c>
      <c r="E34" s="70">
        <f t="shared" ref="E34:G34" si="27">E35+E36+E37+E38</f>
        <v>62.82</v>
      </c>
      <c r="F34" s="70">
        <f t="shared" si="27"/>
        <v>121.22999999999999</v>
      </c>
      <c r="G34" s="70">
        <f t="shared" si="27"/>
        <v>121.22999999999999</v>
      </c>
      <c r="H34" s="70">
        <f t="shared" si="13"/>
        <v>31.406654386905728</v>
      </c>
      <c r="I34" s="70">
        <f t="shared" si="14"/>
        <v>192.97994269340973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543"/>
      <c r="B35" s="605"/>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543"/>
      <c r="B36" s="605"/>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543"/>
      <c r="B37" s="605"/>
      <c r="C37" s="124" t="s">
        <v>21</v>
      </c>
      <c r="D37" s="74">
        <f>SUM(J37,L37,N37,P37,R37,T37,V37,X37,Z37,AB37,AD37,AF37)</f>
        <v>386.00099999999998</v>
      </c>
      <c r="E37" s="74">
        <f>J37</f>
        <v>62.82</v>
      </c>
      <c r="F37" s="74">
        <f>G37</f>
        <v>121.22999999999999</v>
      </c>
      <c r="G37" s="74">
        <f>SUM(K37,M37,O37,Q37,S37,U37,W37,Y37,AA37,AC37,AE37,AG37)</f>
        <v>121.22999999999999</v>
      </c>
      <c r="H37" s="74">
        <f t="shared" si="13"/>
        <v>31.406654386905728</v>
      </c>
      <c r="I37" s="74">
        <f t="shared" si="14"/>
        <v>192.97994269340973</v>
      </c>
      <c r="J37" s="67">
        <v>62.82</v>
      </c>
      <c r="K37" s="67">
        <v>0</v>
      </c>
      <c r="L37" s="67">
        <v>49.597000000000001</v>
      </c>
      <c r="M37" s="263">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0</v>
      </c>
      <c r="AB37" s="158">
        <v>45.796999999999997</v>
      </c>
      <c r="AC37" s="67">
        <v>0</v>
      </c>
      <c r="AD37" s="67">
        <v>12.821999999999999</v>
      </c>
      <c r="AE37" s="67">
        <v>0</v>
      </c>
      <c r="AF37" s="67">
        <v>25.643999999999998</v>
      </c>
      <c r="AG37" s="67">
        <v>0</v>
      </c>
      <c r="AH37" s="60"/>
      <c r="AI37" s="23"/>
    </row>
    <row r="38" spans="1:35" s="22" customFormat="1" ht="45" hidden="1" customHeight="1" x14ac:dyDescent="0.25">
      <c r="A38" s="544"/>
      <c r="B38" s="607"/>
      <c r="C38" s="124" t="s">
        <v>276</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542"/>
      <c r="B39" s="604" t="s">
        <v>296</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543"/>
      <c r="B40" s="605"/>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543"/>
      <c r="B41" s="605"/>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543"/>
      <c r="B42" s="605"/>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544"/>
      <c r="B43" s="607"/>
      <c r="C43" s="124" t="s">
        <v>276</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542"/>
      <c r="B44" s="604" t="s">
        <v>297</v>
      </c>
      <c r="C44" s="123" t="s">
        <v>20</v>
      </c>
      <c r="D44" s="70">
        <f>D45+D46+D47+D48</f>
        <v>10955.753000000001</v>
      </c>
      <c r="E44" s="70">
        <f t="shared" ref="E44:G44" si="30">E45+E46+E47+E48</f>
        <v>22.545999999999999</v>
      </c>
      <c r="F44" s="70">
        <f t="shared" si="30"/>
        <v>6026.19</v>
      </c>
      <c r="G44" s="70">
        <f t="shared" si="30"/>
        <v>6026.19</v>
      </c>
      <c r="H44" s="70">
        <f t="shared" si="13"/>
        <v>55.004799761367373</v>
      </c>
      <c r="I44" s="70">
        <f t="shared" si="14"/>
        <v>26728.421893018713</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543"/>
      <c r="B45" s="605"/>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543"/>
      <c r="B46" s="605"/>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543"/>
      <c r="B47" s="605"/>
      <c r="C47" s="124" t="s">
        <v>21</v>
      </c>
      <c r="D47" s="74">
        <f>SUM(J47,L47,N47,P47,R47,T47,V47,X47,Z47,AB47,AD47,AF47)</f>
        <v>8151.0529999999999</v>
      </c>
      <c r="E47" s="74">
        <f>J47</f>
        <v>22.545999999999999</v>
      </c>
      <c r="F47" s="74">
        <f>G47</f>
        <v>5505.48</v>
      </c>
      <c r="G47" s="74">
        <f>SUM(K47,M47,O47,Q47,S47,U47,W47,Y47,AA47,AC47,AE47,AG47)</f>
        <v>5505.48</v>
      </c>
      <c r="H47" s="74">
        <f t="shared" si="13"/>
        <v>67.543175096518198</v>
      </c>
      <c r="I47" s="74">
        <f t="shared" si="14"/>
        <v>24418.876962654129</v>
      </c>
      <c r="J47" s="67">
        <v>22.545999999999999</v>
      </c>
      <c r="K47" s="67">
        <v>0</v>
      </c>
      <c r="L47" s="67">
        <v>22.545999999999999</v>
      </c>
      <c r="M47" s="263">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0</v>
      </c>
      <c r="AD47" s="67">
        <v>22.545999999999999</v>
      </c>
      <c r="AE47" s="67">
        <v>0</v>
      </c>
      <c r="AF47" s="67">
        <v>5560.2190000000001</v>
      </c>
      <c r="AG47" s="67">
        <v>0</v>
      </c>
      <c r="AH47" s="64" t="s">
        <v>396</v>
      </c>
      <c r="AI47" s="23"/>
    </row>
    <row r="48" spans="1:35" s="22" customFormat="1" ht="51.75" hidden="1" customHeight="1" x14ac:dyDescent="0.25">
      <c r="A48" s="544"/>
      <c r="B48" s="607"/>
      <c r="C48" s="124" t="s">
        <v>276</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542"/>
      <c r="B49" s="604" t="s">
        <v>298</v>
      </c>
      <c r="C49" s="123" t="s">
        <v>20</v>
      </c>
      <c r="D49" s="70">
        <f>D50+D51+D52+D53</f>
        <v>1798.1</v>
      </c>
      <c r="E49" s="70">
        <f t="shared" ref="E49:G49" si="32">E50+E51+E52+E53</f>
        <v>0</v>
      </c>
      <c r="F49" s="70">
        <f t="shared" si="32"/>
        <v>1509.38</v>
      </c>
      <c r="G49" s="70">
        <f t="shared" si="32"/>
        <v>1509.38</v>
      </c>
      <c r="H49" s="70">
        <f t="shared" si="13"/>
        <v>83.943050998275965</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543"/>
      <c r="B50" s="605"/>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543"/>
      <c r="B51" s="605"/>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543"/>
      <c r="B52" s="605"/>
      <c r="C52" s="124" t="s">
        <v>21</v>
      </c>
      <c r="D52" s="74">
        <f>SUM(J52,L52,N52,P52,R52,T52,V52,X52,Z52,AB52,AD52,AF52)</f>
        <v>1798.1</v>
      </c>
      <c r="E52" s="74">
        <f>J52</f>
        <v>0</v>
      </c>
      <c r="F52" s="74">
        <f>G52</f>
        <v>1509.38</v>
      </c>
      <c r="G52" s="74">
        <f>SUM(K52,M52,O52,Q52,S52,U52,W52,Y52,AA52,AC52,AE52,AG52)</f>
        <v>1509.38</v>
      </c>
      <c r="H52" s="74">
        <f t="shared" si="13"/>
        <v>83.943050998275965</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0</v>
      </c>
      <c r="AB52" s="67">
        <v>0</v>
      </c>
      <c r="AC52" s="67">
        <v>0</v>
      </c>
      <c r="AD52" s="67">
        <v>0</v>
      </c>
      <c r="AE52" s="67">
        <v>0</v>
      </c>
      <c r="AF52" s="67">
        <v>0</v>
      </c>
      <c r="AG52" s="67">
        <v>0</v>
      </c>
      <c r="AH52" s="60"/>
      <c r="AI52" s="23"/>
    </row>
    <row r="53" spans="1:35" s="22" customFormat="1" ht="51" hidden="1" customHeight="1" x14ac:dyDescent="0.25">
      <c r="A53" s="544"/>
      <c r="B53" s="607"/>
      <c r="C53" s="124" t="s">
        <v>276</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608" t="s">
        <v>279</v>
      </c>
      <c r="B54" s="516" t="s">
        <v>280</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520"/>
      <c r="B55" s="517"/>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520"/>
      <c r="B56" s="517"/>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520"/>
      <c r="B57" s="517"/>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609"/>
      <c r="B58" s="606"/>
      <c r="C58" s="124" t="s">
        <v>276</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96" t="s">
        <v>281</v>
      </c>
      <c r="C59" s="597"/>
      <c r="D59" s="597"/>
      <c r="E59" s="597"/>
      <c r="F59" s="597"/>
      <c r="G59" s="597"/>
      <c r="H59" s="597"/>
      <c r="I59" s="597"/>
      <c r="J59" s="597"/>
      <c r="K59" s="597"/>
      <c r="L59" s="597"/>
      <c r="M59" s="597"/>
      <c r="N59" s="597"/>
      <c r="O59" s="597"/>
      <c r="P59" s="597"/>
      <c r="Q59" s="597"/>
      <c r="R59" s="597"/>
      <c r="S59" s="597"/>
      <c r="T59" s="597"/>
      <c r="U59" s="597"/>
      <c r="V59" s="597"/>
      <c r="W59" s="597"/>
      <c r="X59" s="597"/>
      <c r="Y59" s="597"/>
      <c r="Z59" s="597"/>
      <c r="AA59" s="597"/>
      <c r="AB59" s="597"/>
      <c r="AC59" s="597"/>
      <c r="AD59" s="597"/>
      <c r="AE59" s="597"/>
      <c r="AF59" s="597"/>
      <c r="AG59" s="598"/>
      <c r="AH59" s="46"/>
    </row>
    <row r="60" spans="1:35" s="21" customFormat="1" ht="21" customHeight="1" x14ac:dyDescent="0.25">
      <c r="A60" s="519" t="s">
        <v>154</v>
      </c>
      <c r="B60" s="514" t="s">
        <v>282</v>
      </c>
      <c r="C60" s="123" t="s">
        <v>20</v>
      </c>
      <c r="D60" s="70">
        <f>D61+D62+D63+D64</f>
        <v>36868.422000000006</v>
      </c>
      <c r="E60" s="70">
        <f t="shared" ref="E60:G60" si="36">E61+E62+E63+E64</f>
        <v>4810.9960000000001</v>
      </c>
      <c r="F60" s="70">
        <f t="shared" si="36"/>
        <v>25203.43</v>
      </c>
      <c r="G60" s="70">
        <f t="shared" si="36"/>
        <v>25203.43</v>
      </c>
      <c r="H60" s="70">
        <f t="shared" si="13"/>
        <v>68.360479328353136</v>
      </c>
      <c r="I60" s="70">
        <f t="shared" si="14"/>
        <v>523.87135636778748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520"/>
      <c r="B61" s="602"/>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520"/>
      <c r="B62" s="602"/>
      <c r="C62" s="124" t="s">
        <v>22</v>
      </c>
      <c r="D62" s="74">
        <f>SUM(J62,L62,N62,P62,R62,T62,V62,X62,Z62,AB62,AD62,AF62)</f>
        <v>14421.8</v>
      </c>
      <c r="E62" s="74">
        <f>J62</f>
        <v>0</v>
      </c>
      <c r="F62" s="74">
        <f>G62</f>
        <v>9271.2999999999993</v>
      </c>
      <c r="G62" s="74">
        <f>SUM(K62,M62,O62,Q62,S62,U62,W62,Y62,AA62,AC62,AE62,AG62)</f>
        <v>9271.2999999999993</v>
      </c>
      <c r="H62" s="74">
        <f t="shared" si="13"/>
        <v>64.286704849602685</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0</v>
      </c>
      <c r="AB62" s="74">
        <f t="shared" si="39"/>
        <v>0</v>
      </c>
      <c r="AC62" s="74">
        <f t="shared" si="39"/>
        <v>0</v>
      </c>
      <c r="AD62" s="74">
        <f t="shared" si="39"/>
        <v>526.01499999999999</v>
      </c>
      <c r="AE62" s="74">
        <f t="shared" si="39"/>
        <v>0</v>
      </c>
      <c r="AF62" s="74">
        <f t="shared" si="39"/>
        <v>0</v>
      </c>
      <c r="AG62" s="74">
        <f t="shared" si="39"/>
        <v>0</v>
      </c>
      <c r="AH62" s="60"/>
      <c r="AI62" s="23"/>
    </row>
    <row r="63" spans="1:35" s="21" customFormat="1" ht="45" customHeight="1" x14ac:dyDescent="0.25">
      <c r="A63" s="520"/>
      <c r="B63" s="602"/>
      <c r="C63" s="124" t="s">
        <v>21</v>
      </c>
      <c r="D63" s="74">
        <f>SUM(J63,L63,N63,P63,R63,T63,V63,X63,Z63,AB63,AD63,AF63)</f>
        <v>22446.622000000003</v>
      </c>
      <c r="E63" s="74">
        <f>J63</f>
        <v>4810.9960000000001</v>
      </c>
      <c r="F63" s="74">
        <f>G63</f>
        <v>15932.130000000001</v>
      </c>
      <c r="G63" s="74">
        <f>SUM(K63,M63,O63,Q63,S63,U63,W63,Y63,AA63,AC63,AE63,AG63)</f>
        <v>15932.130000000001</v>
      </c>
      <c r="H63" s="74">
        <f t="shared" si="13"/>
        <v>70.977851366677797</v>
      </c>
      <c r="I63" s="74">
        <f t="shared" si="14"/>
        <v>331.16074093597251</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0</v>
      </c>
      <c r="AB63" s="67">
        <f t="shared" si="40"/>
        <v>500.267</v>
      </c>
      <c r="AC63" s="67">
        <f t="shared" si="40"/>
        <v>0</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521"/>
      <c r="B64" s="515"/>
      <c r="C64" s="124" t="s">
        <v>276</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547" t="s">
        <v>283</v>
      </c>
      <c r="B65" s="516" t="s">
        <v>292</v>
      </c>
      <c r="C65" s="123" t="s">
        <v>20</v>
      </c>
      <c r="D65" s="70">
        <f>D66+D67+D68+D69</f>
        <v>6820.8</v>
      </c>
      <c r="E65" s="70">
        <f t="shared" ref="E65:G65" si="41">E66+E67+E68+E69</f>
        <v>2179.75</v>
      </c>
      <c r="F65" s="70">
        <f t="shared" si="41"/>
        <v>3594.38</v>
      </c>
      <c r="G65" s="70">
        <f t="shared" si="41"/>
        <v>3594.38</v>
      </c>
      <c r="H65" s="70">
        <f t="shared" si="13"/>
        <v>52.69733755571194</v>
      </c>
      <c r="I65" s="70">
        <f t="shared" si="14"/>
        <v>164.89872691822458</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0</v>
      </c>
      <c r="AB65" s="71">
        <f t="shared" si="42"/>
        <v>0</v>
      </c>
      <c r="AC65" s="71">
        <f t="shared" si="42"/>
        <v>0</v>
      </c>
      <c r="AD65" s="71">
        <f t="shared" si="42"/>
        <v>0</v>
      </c>
      <c r="AE65" s="71">
        <f t="shared" si="42"/>
        <v>0</v>
      </c>
      <c r="AF65" s="71">
        <f t="shared" si="42"/>
        <v>0</v>
      </c>
      <c r="AG65" s="71">
        <f>AG66+AG67+AG68+AG69</f>
        <v>0</v>
      </c>
      <c r="AH65" s="60"/>
      <c r="AI65" s="20"/>
    </row>
    <row r="66" spans="1:35" s="22" customFormat="1" ht="30.75" hidden="1" customHeight="1" x14ac:dyDescent="0.25">
      <c r="A66" s="548"/>
      <c r="B66" s="517"/>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548"/>
      <c r="B67" s="517"/>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548"/>
      <c r="B68" s="517"/>
      <c r="C68" s="124" t="s">
        <v>21</v>
      </c>
      <c r="D68" s="74">
        <f>SUM(J68,L68,N68,P68,R68,T68,V68,X68,Z68,AB68,AD68,AF68)</f>
        <v>6820.8</v>
      </c>
      <c r="E68" s="74">
        <f>J68</f>
        <v>2179.75</v>
      </c>
      <c r="F68" s="74">
        <f>G68</f>
        <v>3594.38</v>
      </c>
      <c r="G68" s="74">
        <f>SUM(K68,M68,O68,Q68,S68,U68,W68,Y68,AA68,AC68,AE68,AG68)</f>
        <v>3594.38</v>
      </c>
      <c r="H68" s="74">
        <f>IFERROR(G68/D68*100,0)</f>
        <v>52.69733755571194</v>
      </c>
      <c r="I68" s="74">
        <f>IFERROR(G68/E68*100,0)</f>
        <v>164.89872691822458</v>
      </c>
      <c r="J68" s="67">
        <v>2179.75</v>
      </c>
      <c r="K68" s="67">
        <v>932.76</v>
      </c>
      <c r="L68" s="67">
        <v>2598.33</v>
      </c>
      <c r="M68" s="263">
        <v>980.85</v>
      </c>
      <c r="N68" s="67">
        <v>0</v>
      </c>
      <c r="O68" s="67">
        <v>788.69</v>
      </c>
      <c r="P68" s="67">
        <v>0</v>
      </c>
      <c r="Q68" s="67">
        <v>153.6</v>
      </c>
      <c r="R68" s="67">
        <v>467.84</v>
      </c>
      <c r="S68" s="67">
        <v>558.9</v>
      </c>
      <c r="T68" s="67">
        <v>0</v>
      </c>
      <c r="U68" s="67">
        <v>179.58</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520"/>
      <c r="B69" s="517"/>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519" t="s">
        <v>284</v>
      </c>
      <c r="B70" s="516" t="s">
        <v>285</v>
      </c>
      <c r="C70" s="123" t="s">
        <v>20</v>
      </c>
      <c r="D70" s="70">
        <f>D71+D72+D73+D74</f>
        <v>30924.621999999999</v>
      </c>
      <c r="E70" s="70">
        <f>E71+E72+E73+E74</f>
        <v>2631.2460000000001</v>
      </c>
      <c r="F70" s="70">
        <f>F71+F72+F73+F74</f>
        <v>22486.05</v>
      </c>
      <c r="G70" s="70">
        <f>G71+G72+G73+G74</f>
        <v>22486.05</v>
      </c>
      <c r="H70" s="70">
        <f t="shared" ref="H70:H74" si="43">IFERROR(G70/D70*100,0)</f>
        <v>72.712448999376605</v>
      </c>
      <c r="I70" s="70">
        <f t="shared" ref="I70:I74" si="44">IFERROR(G70/E70*100,0)</f>
        <v>854.57802121124371</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0</v>
      </c>
      <c r="AB70" s="70">
        <f t="shared" si="45"/>
        <v>500.267</v>
      </c>
      <c r="AC70" s="70" t="e">
        <f t="shared" si="45"/>
        <v>#VALUE!</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520"/>
      <c r="B71" s="517"/>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520"/>
      <c r="B72" s="517"/>
      <c r="C72" s="124" t="s">
        <v>22</v>
      </c>
      <c r="D72" s="74">
        <f>SUM(J72,L72,N72,P72,R72,T72,V72,X72,Z72,AB72,AD72,AF72)</f>
        <v>14421.8</v>
      </c>
      <c r="E72" s="74">
        <f>J72</f>
        <v>0</v>
      </c>
      <c r="F72" s="74">
        <f>G72</f>
        <v>9271.2999999999993</v>
      </c>
      <c r="G72" s="74">
        <f>SUM(K72,M72,O72,Q72,S72,U72,W72,Y72,AA72,AC72,AE72,AG72)</f>
        <v>9271.2999999999993</v>
      </c>
      <c r="H72" s="74">
        <f t="shared" si="43"/>
        <v>64.286704849602685</v>
      </c>
      <c r="I72" s="74">
        <f t="shared" si="44"/>
        <v>0</v>
      </c>
      <c r="J72" s="67">
        <v>0</v>
      </c>
      <c r="K72" s="67">
        <v>0</v>
      </c>
      <c r="L72" s="67">
        <v>3677.26</v>
      </c>
      <c r="M72" s="263">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520"/>
      <c r="B73" s="517"/>
      <c r="C73" s="124" t="s">
        <v>21</v>
      </c>
      <c r="D73" s="74">
        <f>SUM(J73,L73,N73,P73,R73,T73,V73,X73,Z73,AB73,AD73,AF73)</f>
        <v>15625.822</v>
      </c>
      <c r="E73" s="74">
        <f>J73</f>
        <v>2631.2460000000001</v>
      </c>
      <c r="F73" s="74">
        <f>G73</f>
        <v>12337.75</v>
      </c>
      <c r="G73" s="74">
        <f>SUM(K73,M73,O73,Q73,S73,U73,W73,Y73,AA73,AC73,AE73,AG73)</f>
        <v>12337.75</v>
      </c>
      <c r="H73" s="74">
        <f>IFERROR(G73/D73*100,0)</f>
        <v>78.957446206669957</v>
      </c>
      <c r="I73" s="74">
        <f>IFERROR(G73/E73*100,0)</f>
        <v>468.89382444666899</v>
      </c>
      <c r="J73" s="67">
        <v>2631.2460000000001</v>
      </c>
      <c r="K73" s="67">
        <v>1640.3</v>
      </c>
      <c r="L73" s="67">
        <v>1386.242</v>
      </c>
      <c r="M73" s="263">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0</v>
      </c>
      <c r="AB73" s="67">
        <v>500.267</v>
      </c>
      <c r="AC73" s="67">
        <v>0</v>
      </c>
      <c r="AD73" s="67">
        <v>156.55199999999999</v>
      </c>
      <c r="AE73" s="67">
        <v>0</v>
      </c>
      <c r="AF73" s="67">
        <v>14.266999999999999</v>
      </c>
      <c r="AG73" s="67">
        <v>0</v>
      </c>
      <c r="AH73" s="60"/>
      <c r="AI73" s="23"/>
    </row>
    <row r="74" spans="1:35" s="22" customFormat="1" ht="36.75" hidden="1" customHeight="1" x14ac:dyDescent="0.25">
      <c r="A74" s="521"/>
      <c r="B74" s="528"/>
      <c r="C74" s="124" t="s">
        <v>113</v>
      </c>
      <c r="D74" s="74">
        <f>SUM(J74,L74,N74,P74,R74,T74,V74,X74,Z74,AB74,AD74,AF74)</f>
        <v>877</v>
      </c>
      <c r="E74" s="74">
        <f>J74</f>
        <v>0</v>
      </c>
      <c r="F74" s="74">
        <f>G74</f>
        <v>877</v>
      </c>
      <c r="G74" s="74">
        <f>SUM(K74,M74,O74,Q74,S74,U74,W74,Y74,AA74,AC74,AE74,AG74)</f>
        <v>877</v>
      </c>
      <c r="H74" s="74">
        <f t="shared" si="43"/>
        <v>100</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t="s">
        <v>358</v>
      </c>
      <c r="AD74" s="67">
        <v>0</v>
      </c>
      <c r="AE74" s="67">
        <v>0</v>
      </c>
      <c r="AF74" s="67">
        <v>0</v>
      </c>
      <c r="AG74" s="67">
        <v>0</v>
      </c>
      <c r="AH74" s="64"/>
      <c r="AI74" s="20"/>
    </row>
    <row r="75" spans="1:35" s="18" customFormat="1" ht="18.75" customHeight="1" x14ac:dyDescent="0.25">
      <c r="A75" s="156" t="s">
        <v>156</v>
      </c>
      <c r="B75" s="596" t="s">
        <v>286</v>
      </c>
      <c r="C75" s="597"/>
      <c r="D75" s="597"/>
      <c r="E75" s="597"/>
      <c r="F75" s="597"/>
      <c r="G75" s="597"/>
      <c r="H75" s="597"/>
      <c r="I75" s="597"/>
      <c r="J75" s="597"/>
      <c r="K75" s="597"/>
      <c r="L75" s="597"/>
      <c r="M75" s="597"/>
      <c r="N75" s="597"/>
      <c r="O75" s="597"/>
      <c r="P75" s="597"/>
      <c r="Q75" s="597"/>
      <c r="R75" s="597"/>
      <c r="S75" s="597"/>
      <c r="T75" s="597"/>
      <c r="U75" s="597"/>
      <c r="V75" s="597"/>
      <c r="W75" s="597"/>
      <c r="X75" s="597"/>
      <c r="Y75" s="597"/>
      <c r="Z75" s="597"/>
      <c r="AA75" s="597"/>
      <c r="AB75" s="597"/>
      <c r="AC75" s="597"/>
      <c r="AD75" s="597"/>
      <c r="AE75" s="597"/>
      <c r="AF75" s="597"/>
      <c r="AG75" s="598"/>
      <c r="AH75" s="46"/>
    </row>
    <row r="76" spans="1:35" s="22" customFormat="1" ht="63" customHeight="1" x14ac:dyDescent="0.25">
      <c r="A76" s="547" t="s">
        <v>157</v>
      </c>
      <c r="B76" s="559" t="s">
        <v>287</v>
      </c>
      <c r="C76" s="123" t="s">
        <v>20</v>
      </c>
      <c r="D76" s="70">
        <f>D77+D78+D79+D80</f>
        <v>6262.3010000000004</v>
      </c>
      <c r="E76" s="70">
        <f t="shared" ref="E76:G76" si="46">E80+E79</f>
        <v>76.144000000000005</v>
      </c>
      <c r="F76" s="70">
        <f t="shared" si="46"/>
        <v>6109.25</v>
      </c>
      <c r="G76" s="70">
        <f t="shared" si="46"/>
        <v>6109.25</v>
      </c>
      <c r="H76" s="70">
        <f t="shared" si="13"/>
        <v>97.555994194466209</v>
      </c>
      <c r="I76" s="70">
        <f t="shared" si="14"/>
        <v>8023.2848287455345</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0</v>
      </c>
      <c r="AB76" s="71">
        <f t="shared" si="47"/>
        <v>38.256</v>
      </c>
      <c r="AC76" s="71">
        <f t="shared" si="47"/>
        <v>0</v>
      </c>
      <c r="AD76" s="71">
        <f t="shared" si="47"/>
        <v>0</v>
      </c>
      <c r="AE76" s="71">
        <f t="shared" si="47"/>
        <v>0</v>
      </c>
      <c r="AF76" s="71">
        <f t="shared" si="47"/>
        <v>0</v>
      </c>
      <c r="AG76" s="71">
        <f>AG77+AG78+AG79+AG80</f>
        <v>0</v>
      </c>
      <c r="AH76" s="60"/>
      <c r="AI76" s="20"/>
    </row>
    <row r="77" spans="1:35" s="22" customFormat="1" ht="28.5" hidden="1" customHeight="1" x14ac:dyDescent="0.25">
      <c r="A77" s="548"/>
      <c r="B77" s="560"/>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548"/>
      <c r="B78" s="560"/>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548"/>
      <c r="B79" s="560"/>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520"/>
      <c r="B80" s="560"/>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288</v>
      </c>
      <c r="B81" s="596" t="s">
        <v>289</v>
      </c>
      <c r="C81" s="597"/>
      <c r="D81" s="597"/>
      <c r="E81" s="597"/>
      <c r="F81" s="597"/>
      <c r="G81" s="597"/>
      <c r="H81" s="597"/>
      <c r="I81" s="597"/>
      <c r="J81" s="597"/>
      <c r="K81" s="597"/>
      <c r="L81" s="597"/>
      <c r="M81" s="597"/>
      <c r="N81" s="597"/>
      <c r="O81" s="597"/>
      <c r="P81" s="597"/>
      <c r="Q81" s="597"/>
      <c r="R81" s="597"/>
      <c r="S81" s="597"/>
      <c r="T81" s="597"/>
      <c r="U81" s="597"/>
      <c r="V81" s="597"/>
      <c r="W81" s="597"/>
      <c r="X81" s="597"/>
      <c r="Y81" s="597"/>
      <c r="Z81" s="597"/>
      <c r="AA81" s="597"/>
      <c r="AB81" s="597"/>
      <c r="AC81" s="597"/>
      <c r="AD81" s="597"/>
      <c r="AE81" s="597"/>
      <c r="AF81" s="597"/>
      <c r="AG81" s="598"/>
      <c r="AH81" s="46"/>
    </row>
    <row r="82" spans="1:35" s="22" customFormat="1" ht="51.75" customHeight="1" x14ac:dyDescent="0.25">
      <c r="A82" s="547" t="s">
        <v>290</v>
      </c>
      <c r="B82" s="559" t="s">
        <v>291</v>
      </c>
      <c r="C82" s="123" t="s">
        <v>20</v>
      </c>
      <c r="D82" s="70">
        <f>D83+D84+D85</f>
        <v>7648.9</v>
      </c>
      <c r="E82" s="70">
        <f t="shared" ref="E82:G82" si="52">E83+E84+E85</f>
        <v>1103.6410000000001</v>
      </c>
      <c r="F82" s="70">
        <f t="shared" si="52"/>
        <v>5017.7449999999999</v>
      </c>
      <c r="G82" s="70">
        <f t="shared" si="52"/>
        <v>5017.7449999999999</v>
      </c>
      <c r="H82" s="70">
        <f t="shared" ref="H82:H83" si="53">IFERROR(G82/D82*100,0)</f>
        <v>65.600870713435924</v>
      </c>
      <c r="I82" s="70">
        <f t="shared" ref="I82:I83" si="54">IFERROR(G82/E82*100,0)</f>
        <v>454.65373250903144</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0</v>
      </c>
      <c r="AB82" s="71">
        <f t="shared" si="55"/>
        <v>557.95899999999995</v>
      </c>
      <c r="AC82" s="71">
        <f t="shared" si="55"/>
        <v>0</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548"/>
      <c r="B83" s="560"/>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548"/>
      <c r="B84" s="560"/>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521"/>
      <c r="B85" s="561"/>
      <c r="C85" s="124" t="s">
        <v>21</v>
      </c>
      <c r="D85" s="74">
        <f>SUM(J85,L85,N85,P85,R85,T85,V85,X85,Z85,AB85,AD85,AF85)</f>
        <v>7648.9</v>
      </c>
      <c r="E85" s="74">
        <f>J85</f>
        <v>1103.6410000000001</v>
      </c>
      <c r="F85" s="74">
        <f>G85</f>
        <v>5017.7449999999999</v>
      </c>
      <c r="G85" s="74">
        <f>SUM(K85,M85,O85,Q85,S85,U85,W85,Y85,AA85,AC85,AE85,AG85)</f>
        <v>5017.7449999999999</v>
      </c>
      <c r="H85" s="74">
        <f>IFERROR(G85/D85*100,0)</f>
        <v>65.600870713435924</v>
      </c>
      <c r="I85" s="74">
        <f>IFERROR(G85/E85*100,0)</f>
        <v>454.65373250903144</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133BB3F8-8DD4-4AEF-8CD6-A5FB14681329}" scale="7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3"/>
    </customSheetView>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4"/>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5"/>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7"/>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8"/>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10"/>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13"/>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20"/>
    </customSheetView>
    <customSheetView guid="{BBF6B43F-E0FC-43DF-B91C-674F6AB4B556}" scale="70" hiddenRows="1">
      <pane xSplit="6" ySplit="7" topLeftCell="Q8" activePane="bottomRight" state="frozen"/>
      <selection pane="bottomRight" activeCell="AH47" sqref="AH47"/>
      <pageMargins left="0.7" right="0.7" top="0.75" bottom="0.75" header="0.3" footer="0.3"/>
      <pageSetup paperSize="9" orientation="portrait" r:id="rId21"/>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23"/>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24"/>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25"/>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6"/>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27"/>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28"/>
    </customSheetView>
  </customSheetViews>
  <mergeCells count="57">
    <mergeCell ref="B81:AG81"/>
    <mergeCell ref="A82:A85"/>
    <mergeCell ref="B82:B85"/>
    <mergeCell ref="A65:A69"/>
    <mergeCell ref="B65:B69"/>
    <mergeCell ref="A70:A74"/>
    <mergeCell ref="B70:B74"/>
    <mergeCell ref="B75:AG75"/>
    <mergeCell ref="A76:A80"/>
    <mergeCell ref="B76:B80"/>
    <mergeCell ref="A60:A64"/>
    <mergeCell ref="B60:B64"/>
    <mergeCell ref="A34:A38"/>
    <mergeCell ref="B34:B38"/>
    <mergeCell ref="A39:A43"/>
    <mergeCell ref="B39:B43"/>
    <mergeCell ref="A44:A48"/>
    <mergeCell ref="B44:B48"/>
    <mergeCell ref="A49:A53"/>
    <mergeCell ref="B49:B53"/>
    <mergeCell ref="A54:A58"/>
    <mergeCell ref="B54:B58"/>
    <mergeCell ref="B59:AG59"/>
    <mergeCell ref="A19:A23"/>
    <mergeCell ref="B19:B23"/>
    <mergeCell ref="A24:A28"/>
    <mergeCell ref="B24:B28"/>
    <mergeCell ref="A29:A33"/>
    <mergeCell ref="B29:B33"/>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50"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6" s="10" customFormat="1" ht="27" customHeight="1" x14ac:dyDescent="0.25">
      <c r="A3" s="55"/>
      <c r="B3" s="55"/>
      <c r="C3" s="567" t="s">
        <v>204</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6" s="10" customFormat="1" ht="15" customHeight="1" x14ac:dyDescent="0.25">
      <c r="A4" s="568" t="s">
        <v>26</v>
      </c>
      <c r="B4" s="571" t="s">
        <v>29</v>
      </c>
      <c r="C4" s="574" t="s">
        <v>30</v>
      </c>
      <c r="D4" s="577"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6" s="10" customFormat="1" ht="39" customHeight="1" x14ac:dyDescent="0.25">
      <c r="A5" s="569"/>
      <c r="B5" s="572"/>
      <c r="C5" s="575"/>
      <c r="D5" s="578"/>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6" s="10" customFormat="1" ht="64.5" customHeight="1" x14ac:dyDescent="0.25">
      <c r="A6" s="570"/>
      <c r="B6" s="573"/>
      <c r="C6" s="576"/>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556"/>
      <c r="B8" s="559"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61">
        <f>E8-G8</f>
        <v>1186.4074000000001</v>
      </c>
    </row>
    <row r="9" spans="1:36" s="26" customFormat="1" ht="26.25" hidden="1" customHeight="1" x14ac:dyDescent="0.25">
      <c r="A9" s="557"/>
      <c r="B9" s="560"/>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1">
        <f t="shared" ref="AJ9:AJ35" si="3">E9-G9</f>
        <v>0</v>
      </c>
    </row>
    <row r="10" spans="1:36" s="26" customFormat="1" ht="40.5" customHeight="1" x14ac:dyDescent="0.25">
      <c r="A10" s="557"/>
      <c r="B10" s="560"/>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61">
        <f t="shared" si="3"/>
        <v>391.52188999999998</v>
      </c>
    </row>
    <row r="11" spans="1:36" s="26" customFormat="1" ht="40.5" customHeight="1" x14ac:dyDescent="0.25">
      <c r="A11" s="557"/>
      <c r="B11" s="560"/>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1">
        <f t="shared" si="3"/>
        <v>794.88551000000007</v>
      </c>
    </row>
    <row r="12" spans="1:36" s="22" customFormat="1" ht="18.75" customHeight="1" x14ac:dyDescent="0.25">
      <c r="A12" s="66"/>
      <c r="B12" s="511" t="s">
        <v>205</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64"/>
    </row>
    <row r="13" spans="1:36" s="21" customFormat="1" ht="23.25" customHeight="1" x14ac:dyDescent="0.25">
      <c r="A13" s="519" t="s">
        <v>37</v>
      </c>
      <c r="B13" s="514" t="s">
        <v>206</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61">
        <f t="shared" si="3"/>
        <v>1055.9750299999996</v>
      </c>
    </row>
    <row r="14" spans="1:36" s="21" customFormat="1" ht="17.25" hidden="1" customHeight="1" x14ac:dyDescent="0.25">
      <c r="A14" s="520"/>
      <c r="B14" s="602"/>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1">
        <f t="shared" si="3"/>
        <v>0</v>
      </c>
    </row>
    <row r="15" spans="1:36" s="21" customFormat="1" ht="37.5" customHeight="1" x14ac:dyDescent="0.25">
      <c r="A15" s="520"/>
      <c r="B15" s="602"/>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61">
        <f t="shared" si="3"/>
        <v>261.08951999999999</v>
      </c>
    </row>
    <row r="16" spans="1:36" s="22" customFormat="1" ht="29.25" customHeight="1" x14ac:dyDescent="0.25">
      <c r="A16" s="521"/>
      <c r="B16" s="515"/>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1">
        <f t="shared" si="3"/>
        <v>794.88551000000007</v>
      </c>
    </row>
    <row r="17" spans="1:36" s="21" customFormat="1" ht="21" customHeight="1" x14ac:dyDescent="0.25">
      <c r="A17" s="519"/>
      <c r="B17" s="516" t="s">
        <v>207</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0">
        <f t="shared" si="3"/>
        <v>486.48799999999983</v>
      </c>
    </row>
    <row r="18" spans="1:36" s="21" customFormat="1" ht="23.25" hidden="1" customHeight="1" x14ac:dyDescent="0.25">
      <c r="A18" s="520"/>
      <c r="B18" s="517"/>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0">
        <f t="shared" si="3"/>
        <v>0</v>
      </c>
    </row>
    <row r="19" spans="1:36" s="21" customFormat="1" ht="390.75" customHeight="1" x14ac:dyDescent="0.25">
      <c r="A19" s="520"/>
      <c r="B19" s="517"/>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62" t="s">
        <v>364</v>
      </c>
      <c r="AI19" s="23"/>
      <c r="AJ19" s="260">
        <f t="shared" si="3"/>
        <v>120.83100000000005</v>
      </c>
    </row>
    <row r="20" spans="1:36" s="22" customFormat="1" ht="33" customHeight="1" x14ac:dyDescent="0.25">
      <c r="A20" s="521"/>
      <c r="B20" s="528"/>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0">
        <f t="shared" si="3"/>
        <v>365.65699999999993</v>
      </c>
    </row>
    <row r="21" spans="1:36" s="21" customFormat="1" ht="18" customHeight="1" x14ac:dyDescent="0.25">
      <c r="A21" s="519"/>
      <c r="B21" s="516" t="s">
        <v>208</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0">
        <f t="shared" si="3"/>
        <v>359.4155099999989</v>
      </c>
    </row>
    <row r="22" spans="1:36" s="21" customFormat="1" ht="51.75" hidden="1" customHeight="1" x14ac:dyDescent="0.25">
      <c r="A22" s="520"/>
      <c r="B22" s="517"/>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0">
        <f t="shared" si="3"/>
        <v>0</v>
      </c>
    </row>
    <row r="23" spans="1:36" s="21" customFormat="1" ht="168.75" customHeight="1" x14ac:dyDescent="0.25">
      <c r="A23" s="520"/>
      <c r="B23" s="517"/>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323" t="s">
        <v>365</v>
      </c>
      <c r="AI23" s="23"/>
      <c r="AJ23" s="260">
        <f t="shared" si="3"/>
        <v>93.157889999999952</v>
      </c>
    </row>
    <row r="24" spans="1:36" s="22" customFormat="1" ht="28.5" customHeight="1" x14ac:dyDescent="0.25">
      <c r="A24" s="521"/>
      <c r="B24" s="528"/>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0">
        <f t="shared" si="3"/>
        <v>266.25762000000032</v>
      </c>
    </row>
    <row r="25" spans="1:36" s="21" customFormat="1" ht="24.75" customHeight="1" x14ac:dyDescent="0.25">
      <c r="A25" s="519"/>
      <c r="B25" s="516" t="s">
        <v>209</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60">
        <f t="shared" si="3"/>
        <v>12.06546999999955</v>
      </c>
    </row>
    <row r="26" spans="1:36" s="21" customFormat="1" ht="42.75" hidden="1" customHeight="1" x14ac:dyDescent="0.25">
      <c r="A26" s="520"/>
      <c r="B26" s="517"/>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0">
        <f t="shared" si="3"/>
        <v>0</v>
      </c>
    </row>
    <row r="27" spans="1:36" s="21" customFormat="1" ht="105.75" customHeight="1" x14ac:dyDescent="0.25">
      <c r="A27" s="520"/>
      <c r="B27" s="517"/>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72" t="s">
        <v>366</v>
      </c>
      <c r="AI27" s="23"/>
      <c r="AJ27" s="260">
        <f t="shared" si="3"/>
        <v>6.3000000000101863E-4</v>
      </c>
    </row>
    <row r="28" spans="1:36" s="22" customFormat="1" ht="38.25" customHeight="1" x14ac:dyDescent="0.25">
      <c r="A28" s="521"/>
      <c r="B28" s="528"/>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0">
        <f t="shared" si="3"/>
        <v>12.064839999999776</v>
      </c>
    </row>
    <row r="29" spans="1:36" s="21" customFormat="1" ht="24.75" customHeight="1" x14ac:dyDescent="0.25">
      <c r="A29" s="519"/>
      <c r="B29" s="516" t="s">
        <v>210</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0">
        <f t="shared" si="3"/>
        <v>150.90604999999982</v>
      </c>
    </row>
    <row r="30" spans="1:36" s="21" customFormat="1" ht="42.75" hidden="1" customHeight="1" x14ac:dyDescent="0.25">
      <c r="A30" s="520"/>
      <c r="B30" s="517"/>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0">
        <f t="shared" si="3"/>
        <v>0</v>
      </c>
    </row>
    <row r="31" spans="1:36" s="21" customFormat="1" ht="48" hidden="1" customHeight="1" x14ac:dyDescent="0.25">
      <c r="A31" s="520"/>
      <c r="B31" s="517"/>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0">
        <f t="shared" si="3"/>
        <v>0</v>
      </c>
    </row>
    <row r="32" spans="1:36" s="22" customFormat="1" ht="90" customHeight="1" x14ac:dyDescent="0.25">
      <c r="A32" s="521"/>
      <c r="B32" s="528"/>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62" t="s">
        <v>367</v>
      </c>
      <c r="AI32" s="20"/>
      <c r="AJ32" s="260">
        <f t="shared" si="3"/>
        <v>150.90604999999982</v>
      </c>
    </row>
    <row r="33" spans="1:36" s="21" customFormat="1" ht="39.75" customHeight="1" x14ac:dyDescent="0.25">
      <c r="A33" s="542"/>
      <c r="B33" s="516" t="s">
        <v>211</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60">
        <f t="shared" si="3"/>
        <v>47.1</v>
      </c>
    </row>
    <row r="34" spans="1:36" s="21" customFormat="1" ht="3.75" hidden="1" customHeight="1" x14ac:dyDescent="0.25">
      <c r="A34" s="543"/>
      <c r="B34" s="517"/>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0">
        <f t="shared" si="3"/>
        <v>0</v>
      </c>
    </row>
    <row r="35" spans="1:36" s="21" customFormat="1" ht="97.5" customHeight="1" x14ac:dyDescent="0.25">
      <c r="A35" s="543"/>
      <c r="B35" s="517"/>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373"/>
      <c r="AI35" s="23"/>
      <c r="AJ35" s="260">
        <f t="shared" si="3"/>
        <v>47.1</v>
      </c>
    </row>
    <row r="36" spans="1:36" s="22" customFormat="1" ht="64.5" hidden="1" customHeight="1" x14ac:dyDescent="0.25">
      <c r="A36" s="544"/>
      <c r="B36" s="528"/>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511" t="s">
        <v>212</v>
      </c>
      <c r="C37" s="512"/>
      <c r="D37" s="512"/>
      <c r="E37" s="512"/>
      <c r="F37" s="512"/>
      <c r="G37" s="512"/>
      <c r="H37" s="512"/>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3"/>
      <c r="AH37" s="46"/>
      <c r="AI37" s="20"/>
    </row>
    <row r="38" spans="1:36" s="21" customFormat="1" ht="23.25" customHeight="1" x14ac:dyDescent="0.25">
      <c r="A38" s="519" t="s">
        <v>38</v>
      </c>
      <c r="B38" s="514" t="s">
        <v>213</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520"/>
      <c r="B39" s="602"/>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520"/>
      <c r="B40" s="602"/>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520"/>
      <c r="B41" s="515"/>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516" t="s">
        <v>214</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517"/>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0">
        <f t="shared" si="26"/>
        <v>0</v>
      </c>
    </row>
    <row r="44" spans="1:36" s="21" customFormat="1" ht="325.5" customHeight="1" x14ac:dyDescent="0.25">
      <c r="A44" s="127"/>
      <c r="B44" s="517"/>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62" t="s">
        <v>368</v>
      </c>
      <c r="AI44" s="23"/>
      <c r="AJ44" s="260">
        <f t="shared" si="26"/>
        <v>130.43236999999999</v>
      </c>
    </row>
    <row r="45" spans="1:36" s="22" customFormat="1" ht="36.75" customHeight="1" x14ac:dyDescent="0.25">
      <c r="A45" s="127"/>
      <c r="B45" s="528"/>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516" t="s">
        <v>215</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372"/>
      <c r="AI46" s="23"/>
      <c r="AJ46" s="260">
        <f t="shared" si="26"/>
        <v>0</v>
      </c>
    </row>
    <row r="47" spans="1:36" s="21" customFormat="1" ht="27" hidden="1" customHeight="1" x14ac:dyDescent="0.25">
      <c r="A47" s="127"/>
      <c r="B47" s="517"/>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0">
        <f t="shared" si="26"/>
        <v>0</v>
      </c>
    </row>
    <row r="48" spans="1:36" s="21" customFormat="1" ht="120.75" hidden="1" customHeight="1" x14ac:dyDescent="0.25">
      <c r="A48" s="127"/>
      <c r="B48" s="517"/>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0">
        <f t="shared" si="26"/>
        <v>0</v>
      </c>
    </row>
    <row r="49" spans="1:36" s="22" customFormat="1" ht="30" customHeight="1" x14ac:dyDescent="0.25">
      <c r="A49" s="128"/>
      <c r="B49" s="528"/>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60">
        <f t="shared" si="26"/>
        <v>0</v>
      </c>
    </row>
  </sheetData>
  <customSheetViews>
    <customSheetView guid="{133BB3F8-8DD4-4AEF-8CD6-A5FB14681329}" scale="80" hiddenRows="1" state="hidden">
      <pane xSplit="6" ySplit="7" topLeftCell="G50" activePane="bottomRight" state="frozen"/>
      <selection pane="bottomRight" activeCell="Q19" sqref="Q19"/>
      <pageMargins left="0.7" right="0.7" top="0.75" bottom="0.75" header="0.3" footer="0.3"/>
      <pageSetup paperSize="9" orientation="portrait" r:id="rId1"/>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3"/>
    </customSheetView>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4"/>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7"/>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6"/>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22"/>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3"/>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25"/>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6"/>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27"/>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B42:B45"/>
    <mergeCell ref="B46:B49"/>
    <mergeCell ref="A29:A32"/>
    <mergeCell ref="B29:B32"/>
    <mergeCell ref="A33:A36"/>
    <mergeCell ref="B33:B36"/>
    <mergeCell ref="B37:AG37"/>
    <mergeCell ref="A38:A41"/>
    <mergeCell ref="B38:B41"/>
    <mergeCell ref="A17:A20"/>
    <mergeCell ref="B17:B20"/>
    <mergeCell ref="A21:A24"/>
    <mergeCell ref="B21:B24"/>
    <mergeCell ref="A25:A28"/>
    <mergeCell ref="B25:B28"/>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33" customFormat="1" ht="36.75" customHeight="1" x14ac:dyDescent="0.25">
      <c r="C3" s="566" t="s">
        <v>147</v>
      </c>
      <c r="D3" s="566"/>
      <c r="E3" s="566"/>
      <c r="F3" s="566"/>
      <c r="G3" s="566"/>
      <c r="H3" s="566"/>
      <c r="I3" s="566"/>
      <c r="J3" s="566"/>
      <c r="K3" s="566"/>
      <c r="L3" s="566"/>
      <c r="M3" s="566"/>
      <c r="N3" s="566"/>
      <c r="O3" s="566"/>
      <c r="P3" s="566"/>
      <c r="Q3" s="566"/>
      <c r="R3" s="566"/>
      <c r="S3" s="566"/>
      <c r="T3" s="36"/>
      <c r="U3" s="36"/>
      <c r="V3" s="36"/>
      <c r="W3" s="36"/>
      <c r="X3" s="36"/>
      <c r="Y3" s="36"/>
      <c r="Z3" s="36"/>
      <c r="AA3" s="36"/>
      <c r="AB3" s="36"/>
      <c r="AC3" s="36"/>
      <c r="AD3" s="37"/>
      <c r="AE3" s="37"/>
      <c r="AF3" s="37"/>
      <c r="AG3" s="37" t="s">
        <v>0</v>
      </c>
      <c r="AH3" s="37"/>
    </row>
    <row r="4" spans="1:35" s="33"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33"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33" customFormat="1" ht="64.5" customHeight="1" x14ac:dyDescent="0.25">
      <c r="A6" s="570"/>
      <c r="B6" s="573"/>
      <c r="C6" s="573"/>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53" t="s">
        <v>23</v>
      </c>
      <c r="C8" s="97" t="s">
        <v>20</v>
      </c>
      <c r="D8" s="98">
        <f>D9+D10</f>
        <v>2258</v>
      </c>
      <c r="E8" s="98">
        <f>E9+E10</f>
        <v>2078</v>
      </c>
      <c r="F8" s="98">
        <f t="shared" ref="F8" si="0">F9+F10</f>
        <v>721.6</v>
      </c>
      <c r="G8" s="98">
        <f>G9+G10</f>
        <v>721.6</v>
      </c>
      <c r="H8" s="98">
        <f>IFERROR(G8/D8*100,0)</f>
        <v>31.957484499557133</v>
      </c>
      <c r="I8" s="98">
        <f>IFERROR(G8/E8*100,0)</f>
        <v>34.725697786333015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611"/>
      <c r="B9" s="554"/>
      <c r="C9" s="101" t="s">
        <v>22</v>
      </c>
      <c r="D9" s="102">
        <f>D13</f>
        <v>1178</v>
      </c>
      <c r="E9" s="102">
        <f>E13</f>
        <v>1178</v>
      </c>
      <c r="F9" s="102">
        <f>F13</f>
        <v>631.6</v>
      </c>
      <c r="G9" s="102">
        <f>G13</f>
        <v>631.6</v>
      </c>
      <c r="H9" s="102">
        <f>IFERROR(G9/D9*100,0)</f>
        <v>53.616298811544993</v>
      </c>
      <c r="I9" s="102">
        <f>IFERROR(G9/E9*100,0)</f>
        <v>53.616298811544993</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612"/>
      <c r="B10" s="555"/>
      <c r="C10" s="101" t="s">
        <v>21</v>
      </c>
      <c r="D10" s="102">
        <f>D15</f>
        <v>1080</v>
      </c>
      <c r="E10" s="102">
        <f>E15</f>
        <v>900</v>
      </c>
      <c r="F10" s="102">
        <f>F15</f>
        <v>90</v>
      </c>
      <c r="G10" s="102">
        <f>G15</f>
        <v>90</v>
      </c>
      <c r="H10" s="102">
        <f>IFERROR(G10/D10*100,0)</f>
        <v>8.3333333333333321</v>
      </c>
      <c r="I10" s="102">
        <f>IFERROR(G10/E10*100,0)</f>
        <v>10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511" t="s">
        <v>148</v>
      </c>
      <c r="C11" s="512"/>
      <c r="D11" s="512"/>
      <c r="E11" s="512"/>
      <c r="F11" s="512"/>
      <c r="G11" s="512"/>
      <c r="H11" s="512"/>
      <c r="I11" s="512"/>
      <c r="J11" s="512"/>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3"/>
      <c r="AH11" s="64"/>
    </row>
    <row r="12" spans="1:35" s="100" customFormat="1" ht="85.5" customHeight="1" x14ac:dyDescent="0.25">
      <c r="A12" s="519" t="s">
        <v>37</v>
      </c>
      <c r="B12" s="568" t="s">
        <v>149</v>
      </c>
      <c r="C12" s="97" t="s">
        <v>20</v>
      </c>
      <c r="D12" s="98">
        <f>SUM(D13:D13)</f>
        <v>1178</v>
      </c>
      <c r="E12" s="98">
        <f>SUM(E13:E13)</f>
        <v>1178</v>
      </c>
      <c r="F12" s="98">
        <f>SUM(F13:F13)</f>
        <v>631.6</v>
      </c>
      <c r="G12" s="98">
        <f>SUM(G13:G13)</f>
        <v>631.6</v>
      </c>
      <c r="H12" s="98">
        <f>IFERROR(G12/D12*100,0)</f>
        <v>53.616298811544993</v>
      </c>
      <c r="I12" s="98">
        <f>IFERROR(G12/E12*100,0)</f>
        <v>53.616298811544993</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220.5" customHeight="1" x14ac:dyDescent="0.25">
      <c r="A13" s="521"/>
      <c r="B13" s="570"/>
      <c r="C13" s="101" t="s">
        <v>22</v>
      </c>
      <c r="D13" s="102">
        <f>SUM(J13,L13,N13,P13,R13,T13,V13,X13,Z13,AB13,AD13,AF13)</f>
        <v>1178</v>
      </c>
      <c r="E13" s="102">
        <f>J13+L13+N13+P13+R13+T13+V13+X13+Z13+AB13</f>
        <v>1178</v>
      </c>
      <c r="F13" s="102">
        <f>G13</f>
        <v>631.6</v>
      </c>
      <c r="G13" s="102">
        <f>SUM(K13,M13,O13,Q13,S13,U13,W13,Y13,AA13,AC13,AE13,AG13)</f>
        <v>631.6</v>
      </c>
      <c r="H13" s="102">
        <f>IFERROR(G13/D13*100,0)</f>
        <v>53.616298811544993</v>
      </c>
      <c r="I13" s="102">
        <f>IFERROR(G13/E13*100,0)</f>
        <v>53.616298811544993</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v>
      </c>
      <c r="AG13" s="103">
        <v>0</v>
      </c>
      <c r="AH13" s="64" t="s">
        <v>371</v>
      </c>
      <c r="AI13" s="106"/>
    </row>
    <row r="14" spans="1:35" s="100" customFormat="1" ht="90.75" customHeight="1" x14ac:dyDescent="0.25">
      <c r="A14" s="519" t="s">
        <v>51</v>
      </c>
      <c r="B14" s="568" t="s">
        <v>150</v>
      </c>
      <c r="C14" s="97" t="s">
        <v>20</v>
      </c>
      <c r="D14" s="98">
        <f>D15</f>
        <v>1080</v>
      </c>
      <c r="E14" s="98">
        <f>SUM(E15:E15)</f>
        <v>900</v>
      </c>
      <c r="F14" s="98">
        <f>SUM(F15:F15)</f>
        <v>90</v>
      </c>
      <c r="G14" s="98">
        <f>SUM(G15:G15)</f>
        <v>90</v>
      </c>
      <c r="H14" s="98">
        <f t="shared" ref="H14:H15" si="5">IFERROR(G14/D14*100,0)</f>
        <v>8.3333333333333321</v>
      </c>
      <c r="I14" s="98">
        <f t="shared" ref="I14:I15" si="6">IFERROR(G14/E14*100,0)</f>
        <v>10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243" customHeight="1" x14ac:dyDescent="0.25">
      <c r="A15" s="521"/>
      <c r="B15" s="570"/>
      <c r="C15" s="101" t="s">
        <v>21</v>
      </c>
      <c r="D15" s="102">
        <f>SUM(J15,L15,N15,P15,R15,T15,V15,X15,Z15,AB15,AD15,AF15)</f>
        <v>1080</v>
      </c>
      <c r="E15" s="102">
        <f>J15+L15+N15+P15+R15+T15+V15+X15+Z15+AB15</f>
        <v>900</v>
      </c>
      <c r="F15" s="102">
        <f>G15</f>
        <v>90</v>
      </c>
      <c r="G15" s="102">
        <f>SUM(K15,M15,O15,Q15,S15,U15,W15,Y15,AA15,AC15,AE15,AG15)</f>
        <v>90</v>
      </c>
      <c r="H15" s="102">
        <f t="shared" si="5"/>
        <v>8.3333333333333321</v>
      </c>
      <c r="I15" s="102">
        <f t="shared" si="6"/>
        <v>10</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0</v>
      </c>
      <c r="AF15" s="103">
        <v>180</v>
      </c>
      <c r="AG15" s="103">
        <v>0</v>
      </c>
      <c r="AH15" s="64" t="s">
        <v>372</v>
      </c>
      <c r="AI15"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B686A221-D885-4536-BEAC-E7F4BBC02150}"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7" sqref="G7"/>
      <pageMargins left="0.7" right="0.7" top="0.75" bottom="0.75" header="0.3" footer="0.3"/>
      <pageSetup paperSize="9" orientation="portrait" r:id="rId1"/>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92"/>
      <c r="C3" s="567" t="s">
        <v>110</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616"/>
      <c r="B8" s="619" t="s">
        <v>23</v>
      </c>
      <c r="C8" s="275" t="s">
        <v>20</v>
      </c>
      <c r="D8" s="276">
        <f>D9+D10+D11</f>
        <v>239122.326</v>
      </c>
      <c r="E8" s="276">
        <f t="shared" ref="E8:G8" si="0">E9+E10+E11</f>
        <v>167676.56899999999</v>
      </c>
      <c r="F8" s="276">
        <f t="shared" si="0"/>
        <v>152995.15600000002</v>
      </c>
      <c r="G8" s="276">
        <f t="shared" si="0"/>
        <v>152995.15600000002</v>
      </c>
      <c r="H8" s="276">
        <f>IFERROR(G8/D8*100,0)</f>
        <v>63.981962102526559</v>
      </c>
      <c r="I8" s="276">
        <f>IFERROR(G8/E8*100,0)</f>
        <v>91.244207173633214</v>
      </c>
      <c r="J8" s="277">
        <f>J9+J10+J11</f>
        <v>11099.454</v>
      </c>
      <c r="K8" s="277">
        <f t="shared" ref="K8:AG8" si="1">K9+K10+K11</f>
        <v>8031.0300000000007</v>
      </c>
      <c r="L8" s="277">
        <f t="shared" si="1"/>
        <v>22542.92</v>
      </c>
      <c r="M8" s="277">
        <f t="shared" si="1"/>
        <v>22853.97</v>
      </c>
      <c r="N8" s="277">
        <f t="shared" si="1"/>
        <v>7164.6900000000005</v>
      </c>
      <c r="O8" s="277">
        <f t="shared" si="1"/>
        <v>7154.33</v>
      </c>
      <c r="P8" s="277">
        <f t="shared" si="1"/>
        <v>19346.050999999999</v>
      </c>
      <c r="Q8" s="277">
        <f t="shared" si="1"/>
        <v>10861.25</v>
      </c>
      <c r="R8" s="277">
        <f t="shared" si="1"/>
        <v>8404.8539999999994</v>
      </c>
      <c r="S8" s="277">
        <f t="shared" si="1"/>
        <v>7694.33</v>
      </c>
      <c r="T8" s="277">
        <f t="shared" si="1"/>
        <v>14902.3</v>
      </c>
      <c r="U8" s="277">
        <f t="shared" si="1"/>
        <v>13635.006000000001</v>
      </c>
      <c r="V8" s="277">
        <f t="shared" si="1"/>
        <v>51243.245999999999</v>
      </c>
      <c r="W8" s="277">
        <f t="shared" si="1"/>
        <v>46126.99</v>
      </c>
      <c r="X8" s="277">
        <f t="shared" si="1"/>
        <v>21012.974000000002</v>
      </c>
      <c r="Y8" s="277">
        <f t="shared" si="1"/>
        <v>14147.14</v>
      </c>
      <c r="Z8" s="277">
        <f t="shared" si="1"/>
        <v>11960.080000000002</v>
      </c>
      <c r="AA8" s="277">
        <f t="shared" si="1"/>
        <v>22491.11</v>
      </c>
      <c r="AB8" s="277">
        <f t="shared" si="1"/>
        <v>22130.767</v>
      </c>
      <c r="AC8" s="277">
        <f t="shared" si="1"/>
        <v>0</v>
      </c>
      <c r="AD8" s="277">
        <f t="shared" si="1"/>
        <v>8157.74</v>
      </c>
      <c r="AE8" s="277">
        <f t="shared" si="1"/>
        <v>0</v>
      </c>
      <c r="AF8" s="277">
        <f t="shared" si="1"/>
        <v>41157.25</v>
      </c>
      <c r="AG8" s="277">
        <f t="shared" si="1"/>
        <v>0</v>
      </c>
      <c r="AH8" s="559"/>
    </row>
    <row r="9" spans="1:35" s="26" customFormat="1" ht="31.5" x14ac:dyDescent="0.25">
      <c r="A9" s="617"/>
      <c r="B9" s="620"/>
      <c r="C9" s="73" t="s">
        <v>52</v>
      </c>
      <c r="D9" s="74">
        <f>J9+L9+N9+P9+R9+T9+V9+X9+Z9+AB9+AD9+AF9</f>
        <v>9051.3100000000013</v>
      </c>
      <c r="E9" s="74">
        <f>J9+L9+N9+P9+R9+T9+V9+X9+Z9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560"/>
    </row>
    <row r="10" spans="1:35" s="26" customFormat="1" ht="47.25" x14ac:dyDescent="0.25">
      <c r="A10" s="617"/>
      <c r="B10" s="620"/>
      <c r="C10" s="73" t="s">
        <v>22</v>
      </c>
      <c r="D10" s="74">
        <f t="shared" ref="D10:D11" si="5">J10+L10+N10+P10+R10+T10+V10+X10+Z10+AB10+AD10+AF10</f>
        <v>95868.51999999999</v>
      </c>
      <c r="E10" s="74">
        <f t="shared" ref="E10:E11" si="6">J10+L10+N10+P10+R10+T10+V10+X10+Z10</f>
        <v>66792.12</v>
      </c>
      <c r="F10" s="74">
        <f t="shared" ref="F10:F11" si="7">G10</f>
        <v>59795.64</v>
      </c>
      <c r="G10" s="74">
        <f t="shared" ref="G10:G11" si="8">K10+M10+O10+Q10+S10+U10+W10+Y10+AA10+AC10+AE10+AG10</f>
        <v>59795.64</v>
      </c>
      <c r="H10" s="74">
        <f>IFERROR(G10/D10*100,0)</f>
        <v>62.372549404121401</v>
      </c>
      <c r="I10" s="74">
        <f>IFERROR(G10/E10*100,0)</f>
        <v>89.524991870298479</v>
      </c>
      <c r="J10" s="74">
        <f>J15+J19+J36</f>
        <v>455</v>
      </c>
      <c r="K10" s="74">
        <f t="shared" ref="K10:AG10" si="9">K15+K19+K36</f>
        <v>0</v>
      </c>
      <c r="L10" s="74">
        <f t="shared" si="9"/>
        <v>3261.82</v>
      </c>
      <c r="M10" s="74">
        <f t="shared" si="9"/>
        <v>3716.82</v>
      </c>
      <c r="N10" s="74">
        <f t="shared" si="9"/>
        <v>2.1</v>
      </c>
      <c r="O10" s="74">
        <f t="shared" si="9"/>
        <v>2.1</v>
      </c>
      <c r="P10" s="74">
        <f t="shared" si="9"/>
        <v>8869</v>
      </c>
      <c r="Q10" s="74">
        <f t="shared" si="9"/>
        <v>1976.98</v>
      </c>
      <c r="R10" s="74">
        <f t="shared" si="9"/>
        <v>0</v>
      </c>
      <c r="S10" s="74">
        <f t="shared" si="9"/>
        <v>0</v>
      </c>
      <c r="T10" s="74">
        <f t="shared" si="9"/>
        <v>3261.82</v>
      </c>
      <c r="U10" s="74">
        <f t="shared" si="9"/>
        <v>3261.82</v>
      </c>
      <c r="V10" s="74">
        <f t="shared" si="9"/>
        <v>37359.17</v>
      </c>
      <c r="W10" s="74">
        <f t="shared" si="9"/>
        <v>33957.5</v>
      </c>
      <c r="X10" s="74">
        <f t="shared" si="9"/>
        <v>10474.41</v>
      </c>
      <c r="Y10" s="74">
        <f t="shared" si="9"/>
        <v>5858.33</v>
      </c>
      <c r="Z10" s="74">
        <f t="shared" si="9"/>
        <v>3108.8</v>
      </c>
      <c r="AA10" s="74">
        <f t="shared" si="9"/>
        <v>11022.09</v>
      </c>
      <c r="AB10" s="74">
        <f t="shared" si="9"/>
        <v>10515.19</v>
      </c>
      <c r="AC10" s="74">
        <f t="shared" si="9"/>
        <v>0</v>
      </c>
      <c r="AD10" s="74">
        <f t="shared" si="9"/>
        <v>0</v>
      </c>
      <c r="AE10" s="74">
        <f t="shared" si="9"/>
        <v>0</v>
      </c>
      <c r="AF10" s="74">
        <f t="shared" si="9"/>
        <v>18561.21</v>
      </c>
      <c r="AG10" s="74">
        <f t="shared" si="9"/>
        <v>0</v>
      </c>
      <c r="AH10" s="560"/>
    </row>
    <row r="11" spans="1:35" s="26" customFormat="1" ht="31.5" x14ac:dyDescent="0.25">
      <c r="A11" s="618"/>
      <c r="B11" s="621"/>
      <c r="C11" s="73" t="s">
        <v>21</v>
      </c>
      <c r="D11" s="74">
        <f t="shared" si="5"/>
        <v>134202.49600000001</v>
      </c>
      <c r="E11" s="74">
        <f t="shared" si="6"/>
        <v>100474.50899999999</v>
      </c>
      <c r="F11" s="74">
        <f t="shared" si="7"/>
        <v>92789.576000000015</v>
      </c>
      <c r="G11" s="74">
        <f t="shared" si="8"/>
        <v>92789.576000000015</v>
      </c>
      <c r="H11" s="74">
        <f>IFERROR(G11/D11*100,0)</f>
        <v>69.141468128878913</v>
      </c>
      <c r="I11" s="74">
        <f>IFERROR(G11/E11*100,0)</f>
        <v>92.351360482886278</v>
      </c>
      <c r="J11" s="74">
        <f>J16+J20+J50+J56+J44</f>
        <v>10644.454</v>
      </c>
      <c r="K11" s="74">
        <f t="shared" ref="K11:AG11" si="10">K16+K20+K50+K56+K44</f>
        <v>8031.0300000000007</v>
      </c>
      <c r="L11" s="74">
        <f t="shared" si="10"/>
        <v>19076.129999999997</v>
      </c>
      <c r="M11" s="74">
        <f t="shared" si="10"/>
        <v>18932.18</v>
      </c>
      <c r="N11" s="74">
        <f t="shared" si="10"/>
        <v>7162.59</v>
      </c>
      <c r="O11" s="74">
        <f t="shared" si="10"/>
        <v>7152.23</v>
      </c>
      <c r="P11" s="74">
        <f t="shared" si="10"/>
        <v>10477.050999999999</v>
      </c>
      <c r="Q11" s="74">
        <f t="shared" si="10"/>
        <v>8884.27</v>
      </c>
      <c r="R11" s="74">
        <f t="shared" si="10"/>
        <v>8404.8539999999994</v>
      </c>
      <c r="S11" s="74">
        <f t="shared" si="10"/>
        <v>7694.33</v>
      </c>
      <c r="T11" s="74">
        <f t="shared" si="10"/>
        <v>11435.51</v>
      </c>
      <c r="U11" s="74">
        <f t="shared" si="10"/>
        <v>10168.216</v>
      </c>
      <c r="V11" s="74">
        <f t="shared" si="10"/>
        <v>13884.076000000001</v>
      </c>
      <c r="W11" s="74">
        <f t="shared" si="10"/>
        <v>12169.49</v>
      </c>
      <c r="X11" s="74">
        <f t="shared" si="10"/>
        <v>10538.564</v>
      </c>
      <c r="Y11" s="74">
        <f t="shared" si="10"/>
        <v>8288.81</v>
      </c>
      <c r="Z11" s="74">
        <f t="shared" si="10"/>
        <v>8851.2800000000007</v>
      </c>
      <c r="AA11" s="74">
        <f t="shared" si="10"/>
        <v>11469.02</v>
      </c>
      <c r="AB11" s="74">
        <f t="shared" si="10"/>
        <v>11615.576999999999</v>
      </c>
      <c r="AC11" s="74">
        <f t="shared" si="10"/>
        <v>0</v>
      </c>
      <c r="AD11" s="74">
        <f t="shared" si="10"/>
        <v>8157.74</v>
      </c>
      <c r="AE11" s="74">
        <f t="shared" si="10"/>
        <v>0</v>
      </c>
      <c r="AF11" s="74">
        <f t="shared" si="10"/>
        <v>13954.670000000002</v>
      </c>
      <c r="AG11" s="74">
        <f t="shared" si="10"/>
        <v>0</v>
      </c>
      <c r="AH11" s="561"/>
    </row>
    <row r="12" spans="1:35" s="18" customFormat="1" ht="18.75" customHeight="1" x14ac:dyDescent="0.25">
      <c r="A12" s="68"/>
      <c r="B12" s="511" t="s">
        <v>57</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46"/>
    </row>
    <row r="13" spans="1:35" s="21" customFormat="1" ht="15.75" x14ac:dyDescent="0.25">
      <c r="A13" s="587" t="s">
        <v>50</v>
      </c>
      <c r="B13" s="590" t="s">
        <v>58</v>
      </c>
      <c r="C13" s="81" t="s">
        <v>20</v>
      </c>
      <c r="D13" s="82">
        <f>D15+D16+D14</f>
        <v>8971.39</v>
      </c>
      <c r="E13" s="82">
        <f t="shared" ref="E13:AG13" si="11">E15+E16+E14</f>
        <v>7298.54</v>
      </c>
      <c r="F13" s="82">
        <f t="shared" si="11"/>
        <v>7298.54</v>
      </c>
      <c r="G13" s="82">
        <f t="shared" si="11"/>
        <v>7298.54</v>
      </c>
      <c r="H13" s="82">
        <f t="shared" ref="H13:H36" si="12">IFERROR(G13/D13*100,0)</f>
        <v>81.353502634485849</v>
      </c>
      <c r="I13" s="82">
        <f t="shared" ref="I13:I36" si="13">IFERROR(G13/E13*100,0)</f>
        <v>100</v>
      </c>
      <c r="J13" s="82">
        <f t="shared" si="11"/>
        <v>0</v>
      </c>
      <c r="K13" s="82">
        <f t="shared" si="11"/>
        <v>0</v>
      </c>
      <c r="L13" s="82">
        <f t="shared" si="11"/>
        <v>3649.27</v>
      </c>
      <c r="M13" s="82">
        <f t="shared" si="11"/>
        <v>3649.27</v>
      </c>
      <c r="N13" s="82">
        <f t="shared" si="11"/>
        <v>0</v>
      </c>
      <c r="O13" s="82">
        <f t="shared" si="11"/>
        <v>0</v>
      </c>
      <c r="P13" s="82">
        <f t="shared" si="11"/>
        <v>0</v>
      </c>
      <c r="Q13" s="82">
        <f t="shared" si="11"/>
        <v>0</v>
      </c>
      <c r="R13" s="82">
        <f t="shared" si="11"/>
        <v>0</v>
      </c>
      <c r="S13" s="82">
        <f t="shared" si="11"/>
        <v>0</v>
      </c>
      <c r="T13" s="82">
        <f t="shared" si="11"/>
        <v>3649.27</v>
      </c>
      <c r="U13" s="82">
        <f t="shared" si="11"/>
        <v>3649.27</v>
      </c>
      <c r="V13" s="82">
        <f t="shared" si="11"/>
        <v>0</v>
      </c>
      <c r="W13" s="82">
        <f t="shared" si="11"/>
        <v>0</v>
      </c>
      <c r="X13" s="82">
        <f t="shared" si="11"/>
        <v>0</v>
      </c>
      <c r="Y13" s="82">
        <f t="shared" si="11"/>
        <v>0</v>
      </c>
      <c r="Z13" s="82">
        <f t="shared" si="11"/>
        <v>0</v>
      </c>
      <c r="AA13" s="82">
        <f t="shared" si="11"/>
        <v>0</v>
      </c>
      <c r="AB13" s="82">
        <f t="shared" si="11"/>
        <v>0</v>
      </c>
      <c r="AC13" s="82">
        <f t="shared" si="11"/>
        <v>0</v>
      </c>
      <c r="AD13" s="82">
        <f t="shared" si="11"/>
        <v>0</v>
      </c>
      <c r="AE13" s="82">
        <f t="shared" si="11"/>
        <v>0</v>
      </c>
      <c r="AF13" s="82">
        <f t="shared" si="11"/>
        <v>1672.8500000000001</v>
      </c>
      <c r="AG13" s="82">
        <f t="shared" si="11"/>
        <v>0</v>
      </c>
      <c r="AH13" s="525" t="s">
        <v>416</v>
      </c>
      <c r="AI13" s="23"/>
    </row>
    <row r="14" spans="1:35" s="21" customFormat="1" ht="31.5" x14ac:dyDescent="0.25">
      <c r="A14" s="588"/>
      <c r="B14" s="591"/>
      <c r="C14" s="61" t="s">
        <v>52</v>
      </c>
      <c r="D14" s="62">
        <f>SUM(J14,L14,N14,P14,R14,T14,V14,X14,Z14,AB14,AD14,AF14)</f>
        <v>503.89</v>
      </c>
      <c r="E14" s="62">
        <f>J14+L14+N14+P14+R14+T14+V14+X14+Z14</f>
        <v>409.94</v>
      </c>
      <c r="F14" s="62">
        <f>G14</f>
        <v>409.94</v>
      </c>
      <c r="G14" s="62">
        <f>SUM(K14,M14,O14,Q14,S14,U14,W14,Y14,AA14,AC14,AE14,AG14)</f>
        <v>409.94</v>
      </c>
      <c r="H14" s="62">
        <f t="shared" si="12"/>
        <v>81.355057651471554</v>
      </c>
      <c r="I14" s="62">
        <f t="shared" si="13"/>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526"/>
      <c r="AI14" s="23"/>
    </row>
    <row r="15" spans="1:35" s="21" customFormat="1" ht="47.25" x14ac:dyDescent="0.25">
      <c r="A15" s="588"/>
      <c r="B15" s="591"/>
      <c r="C15" s="61" t="s">
        <v>22</v>
      </c>
      <c r="D15" s="62">
        <f>SUM(J15,L15,N15,P15,R15,T15,V15,X15,Z15,AB15,AD15,AF15)</f>
        <v>8018.89</v>
      </c>
      <c r="E15" s="62">
        <f t="shared" ref="E15:E16" si="14">J15+L15+N15+P15+R15+T15+V15+X15+Z15</f>
        <v>6523.64</v>
      </c>
      <c r="F15" s="62">
        <f>G15</f>
        <v>6523.64</v>
      </c>
      <c r="G15" s="62">
        <f>SUM(K15,M15,O15,Q15,S15,U15,W15,Y15,AA15,AC15,AE15,AG15)</f>
        <v>6523.64</v>
      </c>
      <c r="H15" s="62">
        <f t="shared" si="12"/>
        <v>81.353404274157654</v>
      </c>
      <c r="I15" s="62">
        <f t="shared" si="13"/>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526"/>
      <c r="AI15" s="23"/>
    </row>
    <row r="16" spans="1:35" s="22" customFormat="1" ht="31.5" x14ac:dyDescent="0.25">
      <c r="A16" s="589"/>
      <c r="B16" s="592"/>
      <c r="C16" s="61" t="s">
        <v>21</v>
      </c>
      <c r="D16" s="62">
        <f>SUM(J16,L16,N16,P16,R16,T16,V16,X16,Z16,AB16,AD16,AF16)</f>
        <v>448.61</v>
      </c>
      <c r="E16" s="62">
        <f t="shared" si="14"/>
        <v>364.96</v>
      </c>
      <c r="F16" s="62">
        <f>G16</f>
        <v>364.96</v>
      </c>
      <c r="G16" s="62">
        <f>SUM(K16,M16,O16,Q16,S16,U16,W16,Y16,AA16,AC16,AE16,AG16)</f>
        <v>364.96</v>
      </c>
      <c r="H16" s="62">
        <f t="shared" si="12"/>
        <v>81.353514188270424</v>
      </c>
      <c r="I16" s="62">
        <f t="shared" si="13"/>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527"/>
      <c r="AI16" s="20"/>
    </row>
    <row r="17" spans="1:35" s="22" customFormat="1" ht="23.25" customHeight="1" x14ac:dyDescent="0.25">
      <c r="A17" s="88"/>
      <c r="B17" s="511" t="s">
        <v>66</v>
      </c>
      <c r="C17" s="512"/>
      <c r="D17" s="512"/>
      <c r="E17" s="512"/>
      <c r="F17" s="512"/>
      <c r="G17" s="512"/>
      <c r="H17" s="512"/>
      <c r="I17" s="512"/>
      <c r="J17" s="512"/>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3"/>
      <c r="AH17" s="64"/>
      <c r="AI17" s="20"/>
    </row>
    <row r="18" spans="1:35" s="22" customFormat="1" ht="28.5" customHeight="1" x14ac:dyDescent="0.25">
      <c r="A18" s="626" t="s">
        <v>38</v>
      </c>
      <c r="B18" s="590" t="s">
        <v>59</v>
      </c>
      <c r="C18" s="81" t="s">
        <v>20</v>
      </c>
      <c r="D18" s="82">
        <f>D20+D19</f>
        <v>106016.91</v>
      </c>
      <c r="E18" s="82">
        <f t="shared" ref="E18:G18" si="15">E20+E19</f>
        <v>74267.89</v>
      </c>
      <c r="F18" s="82">
        <f t="shared" si="15"/>
        <v>66579.360000000015</v>
      </c>
      <c r="G18" s="82">
        <f t="shared" si="15"/>
        <v>66579.360000000015</v>
      </c>
      <c r="H18" s="82">
        <f t="shared" si="12"/>
        <v>62.800698492344296</v>
      </c>
      <c r="I18" s="82">
        <f t="shared" si="13"/>
        <v>89.647571783714355</v>
      </c>
      <c r="J18" s="83">
        <f>J20+J19</f>
        <v>500</v>
      </c>
      <c r="K18" s="83">
        <f t="shared" ref="K18:AG18" si="16">K20+K19</f>
        <v>0</v>
      </c>
      <c r="L18" s="83">
        <f t="shared" si="16"/>
        <v>8041</v>
      </c>
      <c r="M18" s="83">
        <f t="shared" si="16"/>
        <v>8541</v>
      </c>
      <c r="N18" s="83">
        <f t="shared" si="16"/>
        <v>0</v>
      </c>
      <c r="O18" s="83">
        <f t="shared" si="16"/>
        <v>0</v>
      </c>
      <c r="P18" s="83">
        <f t="shared" si="16"/>
        <v>9746.2000000000007</v>
      </c>
      <c r="Q18" s="83">
        <f t="shared" si="16"/>
        <v>2172.5100000000002</v>
      </c>
      <c r="R18" s="83">
        <f t="shared" si="16"/>
        <v>0</v>
      </c>
      <c r="S18" s="83">
        <f t="shared" si="16"/>
        <v>0</v>
      </c>
      <c r="T18" s="83">
        <f t="shared" si="16"/>
        <v>1913.5</v>
      </c>
      <c r="U18" s="83">
        <f t="shared" si="16"/>
        <v>1577.01</v>
      </c>
      <c r="V18" s="83">
        <f t="shared" si="16"/>
        <v>39140.589999999997</v>
      </c>
      <c r="W18" s="83">
        <f t="shared" si="16"/>
        <v>36065.019999999997</v>
      </c>
      <c r="X18" s="83">
        <f t="shared" si="16"/>
        <v>11510.34</v>
      </c>
      <c r="Y18" s="83">
        <f t="shared" si="16"/>
        <v>6111.63</v>
      </c>
      <c r="Z18" s="83">
        <f t="shared" si="16"/>
        <v>3416.26</v>
      </c>
      <c r="AA18" s="83">
        <f t="shared" si="16"/>
        <v>12112.19</v>
      </c>
      <c r="AB18" s="83">
        <f t="shared" si="16"/>
        <v>12045.220000000001</v>
      </c>
      <c r="AC18" s="83">
        <f t="shared" si="16"/>
        <v>0</v>
      </c>
      <c r="AD18" s="83">
        <f t="shared" si="16"/>
        <v>0</v>
      </c>
      <c r="AE18" s="83">
        <f t="shared" si="16"/>
        <v>0</v>
      </c>
      <c r="AF18" s="83">
        <f t="shared" si="16"/>
        <v>19703.8</v>
      </c>
      <c r="AG18" s="83">
        <f t="shared" si="16"/>
        <v>0</v>
      </c>
      <c r="AH18" s="553"/>
      <c r="AI18" s="20"/>
    </row>
    <row r="19" spans="1:35" s="26" customFormat="1" ht="47.25" x14ac:dyDescent="0.25">
      <c r="A19" s="627"/>
      <c r="B19" s="591"/>
      <c r="C19" s="73" t="s">
        <v>22</v>
      </c>
      <c r="D19" s="74">
        <f>SUM(J19,L19,N19,P19,R19,T19,V19,X19,Z19,AB19,AD19,AF19)</f>
        <v>87847.53</v>
      </c>
      <c r="E19" s="74">
        <f>J19+L19+N19+P19+R19+T19+V19+X19+Z19</f>
        <v>60266.380000000005</v>
      </c>
      <c r="F19" s="74">
        <f>G19</f>
        <v>53269.900000000009</v>
      </c>
      <c r="G19" s="74">
        <f>SUM(K19,M19,O19,Q19,S19,U19,W19,Y19,AA19,AC19,AE19,AG19)</f>
        <v>53269.900000000009</v>
      </c>
      <c r="H19" s="74">
        <f>IFERROR(G19/D19*100,0)</f>
        <v>60.639041302584161</v>
      </c>
      <c r="I19" s="74">
        <f>IFERROR(G19/E19*100,0)</f>
        <v>88.390741239145285</v>
      </c>
      <c r="J19" s="67">
        <f>J22+J25+J28+J31</f>
        <v>455</v>
      </c>
      <c r="K19" s="67">
        <f t="shared" ref="K19:AG19" si="17">K22+K25+K28+K31</f>
        <v>0</v>
      </c>
      <c r="L19" s="67">
        <f t="shared" si="17"/>
        <v>0</v>
      </c>
      <c r="M19" s="67">
        <f t="shared" si="17"/>
        <v>455</v>
      </c>
      <c r="N19" s="67">
        <f t="shared" si="17"/>
        <v>0</v>
      </c>
      <c r="O19" s="67">
        <f t="shared" si="17"/>
        <v>0</v>
      </c>
      <c r="P19" s="67">
        <f t="shared" si="17"/>
        <v>8869</v>
      </c>
      <c r="Q19" s="67">
        <f t="shared" si="17"/>
        <v>1976.98</v>
      </c>
      <c r="R19" s="67">
        <f t="shared" si="17"/>
        <v>0</v>
      </c>
      <c r="S19" s="67">
        <f t="shared" si="17"/>
        <v>0</v>
      </c>
      <c r="T19" s="67">
        <f t="shared" si="17"/>
        <v>0</v>
      </c>
      <c r="U19" s="67">
        <f t="shared" si="17"/>
        <v>0</v>
      </c>
      <c r="V19" s="67">
        <f t="shared" si="17"/>
        <v>37359.17</v>
      </c>
      <c r="W19" s="67">
        <f t="shared" si="17"/>
        <v>33957.5</v>
      </c>
      <c r="X19" s="67">
        <f t="shared" si="17"/>
        <v>10474.41</v>
      </c>
      <c r="Y19" s="67">
        <f t="shared" si="17"/>
        <v>5858.33</v>
      </c>
      <c r="Z19" s="67">
        <f t="shared" si="17"/>
        <v>3108.8</v>
      </c>
      <c r="AA19" s="67">
        <f t="shared" si="17"/>
        <v>11022.09</v>
      </c>
      <c r="AB19" s="67">
        <f t="shared" si="17"/>
        <v>10515.19</v>
      </c>
      <c r="AC19" s="67">
        <f t="shared" si="17"/>
        <v>0</v>
      </c>
      <c r="AD19" s="67">
        <f t="shared" si="17"/>
        <v>0</v>
      </c>
      <c r="AE19" s="67">
        <f t="shared" si="17"/>
        <v>0</v>
      </c>
      <c r="AF19" s="67">
        <f t="shared" si="17"/>
        <v>17065.96</v>
      </c>
      <c r="AG19" s="67">
        <f t="shared" si="17"/>
        <v>0</v>
      </c>
      <c r="AH19" s="554"/>
      <c r="AI19" s="24"/>
    </row>
    <row r="20" spans="1:35" s="26" customFormat="1" ht="31.5" x14ac:dyDescent="0.25">
      <c r="A20" s="588"/>
      <c r="B20" s="591"/>
      <c r="C20" s="73" t="s">
        <v>21</v>
      </c>
      <c r="D20" s="74">
        <f>SUM(J20,L20,N20,P20,R20,T20,V20,X20,Z20,AB20,AD20,AF20)</f>
        <v>18169.38</v>
      </c>
      <c r="E20" s="74">
        <f>J20+L20+N20+P20+R20+T20+V20+X20+Z20</f>
        <v>14001.51</v>
      </c>
      <c r="F20" s="74">
        <f>G20</f>
        <v>13309.460000000001</v>
      </c>
      <c r="G20" s="74">
        <f>SUM(K20,M20,O20,Q20,S20,U20,W20,Y20,AA20,AC20,AE20,AG20)</f>
        <v>13309.460000000001</v>
      </c>
      <c r="H20" s="74">
        <f>IFERROR(G20/D20*100,0)</f>
        <v>73.252141790198678</v>
      </c>
      <c r="I20" s="74">
        <f>IFERROR(G20/E20*100,0)</f>
        <v>95.057318817756084</v>
      </c>
      <c r="J20" s="67">
        <f>J23+J26+J29+J32</f>
        <v>45</v>
      </c>
      <c r="K20" s="67">
        <f t="shared" ref="K20:AG20" si="18">K23+K26+K29+K32</f>
        <v>0</v>
      </c>
      <c r="L20" s="67">
        <f t="shared" si="18"/>
        <v>8041</v>
      </c>
      <c r="M20" s="67">
        <f t="shared" si="18"/>
        <v>8086</v>
      </c>
      <c r="N20" s="67">
        <f t="shared" si="18"/>
        <v>0</v>
      </c>
      <c r="O20" s="67">
        <f t="shared" si="18"/>
        <v>0</v>
      </c>
      <c r="P20" s="67">
        <f t="shared" si="18"/>
        <v>877.2</v>
      </c>
      <c r="Q20" s="67">
        <f t="shared" si="18"/>
        <v>195.53</v>
      </c>
      <c r="R20" s="67">
        <f t="shared" si="18"/>
        <v>0</v>
      </c>
      <c r="S20" s="67">
        <f t="shared" si="18"/>
        <v>0</v>
      </c>
      <c r="T20" s="67">
        <f t="shared" si="18"/>
        <v>1913.5</v>
      </c>
      <c r="U20" s="67">
        <f t="shared" si="18"/>
        <v>1577.01</v>
      </c>
      <c r="V20" s="67">
        <f t="shared" si="18"/>
        <v>1781.42</v>
      </c>
      <c r="W20" s="67">
        <f t="shared" si="18"/>
        <v>2107.52</v>
      </c>
      <c r="X20" s="67">
        <f t="shared" si="18"/>
        <v>1035.93</v>
      </c>
      <c r="Y20" s="67">
        <f t="shared" si="18"/>
        <v>253.29999999999998</v>
      </c>
      <c r="Z20" s="67">
        <f t="shared" si="18"/>
        <v>307.45999999999998</v>
      </c>
      <c r="AA20" s="67">
        <f t="shared" si="18"/>
        <v>1090.0999999999999</v>
      </c>
      <c r="AB20" s="67">
        <f t="shared" si="18"/>
        <v>1530.03</v>
      </c>
      <c r="AC20" s="67">
        <f t="shared" si="18"/>
        <v>0</v>
      </c>
      <c r="AD20" s="67">
        <f t="shared" si="18"/>
        <v>0</v>
      </c>
      <c r="AE20" s="67">
        <f t="shared" si="18"/>
        <v>0</v>
      </c>
      <c r="AF20" s="67">
        <f t="shared" si="18"/>
        <v>2637.84</v>
      </c>
      <c r="AG20" s="67">
        <f t="shared" si="18"/>
        <v>0</v>
      </c>
      <c r="AH20" s="555"/>
      <c r="AI20" s="24"/>
    </row>
    <row r="21" spans="1:35" s="22" customFormat="1" ht="21" x14ac:dyDescent="0.25">
      <c r="A21" s="547"/>
      <c r="B21" s="623" t="s">
        <v>61</v>
      </c>
      <c r="C21" s="57" t="s">
        <v>20</v>
      </c>
      <c r="D21" s="58">
        <f>D23+D22</f>
        <v>6430.45</v>
      </c>
      <c r="E21" s="58">
        <f t="shared" ref="E21" si="19">E23+E22</f>
        <v>267.75</v>
      </c>
      <c r="F21" s="58">
        <f t="shared" ref="F21" si="20">F23+F22</f>
        <v>267.75</v>
      </c>
      <c r="G21" s="58">
        <f t="shared" ref="G21" si="21">G23+G22</f>
        <v>267.75</v>
      </c>
      <c r="H21" s="58">
        <f t="shared" ref="H21" si="22">IFERROR(G21/D21*100,0)</f>
        <v>4.1637832500058325</v>
      </c>
      <c r="I21" s="58">
        <f t="shared" ref="I21" si="23">IFERROR(G21/E21*100,0)</f>
        <v>100</v>
      </c>
      <c r="J21" s="59">
        <f>J23+J22</f>
        <v>0</v>
      </c>
      <c r="K21" s="59">
        <f t="shared" ref="K21" si="24">K23+K22</f>
        <v>0</v>
      </c>
      <c r="L21" s="59">
        <f t="shared" ref="L21" si="25">L23+L22</f>
        <v>0</v>
      </c>
      <c r="M21" s="59">
        <f t="shared" ref="M21" si="26">M23+M22</f>
        <v>0</v>
      </c>
      <c r="N21" s="59">
        <f t="shared" ref="N21" si="27">N23+N22</f>
        <v>0</v>
      </c>
      <c r="O21" s="59">
        <f t="shared" ref="O21" si="28">O23+O22</f>
        <v>0</v>
      </c>
      <c r="P21" s="59">
        <f t="shared" ref="P21" si="29">P23+P22</f>
        <v>0</v>
      </c>
      <c r="Q21" s="59">
        <f t="shared" ref="Q21" si="30">Q23+Q22</f>
        <v>0</v>
      </c>
      <c r="R21" s="59">
        <f t="shared" ref="R21" si="31">R23+R22</f>
        <v>0</v>
      </c>
      <c r="S21" s="59">
        <f t="shared" ref="S21" si="32">S23+S22</f>
        <v>0</v>
      </c>
      <c r="T21" s="59">
        <f t="shared" ref="T21" si="33">T23+T22</f>
        <v>0</v>
      </c>
      <c r="U21" s="59">
        <f t="shared" ref="U21" si="34">U23+U22</f>
        <v>0</v>
      </c>
      <c r="V21" s="59">
        <f t="shared" ref="V21" si="35">V23+V22</f>
        <v>0</v>
      </c>
      <c r="W21" s="59">
        <f t="shared" ref="W21" si="36">W23+W22</f>
        <v>0</v>
      </c>
      <c r="X21" s="59">
        <f t="shared" ref="X21" si="37">X23+X22</f>
        <v>267.75</v>
      </c>
      <c r="Y21" s="59">
        <f t="shared" ref="Y21" si="38">Y23+Y22</f>
        <v>267.75</v>
      </c>
      <c r="Z21" s="59">
        <f t="shared" ref="Z21" si="39">Z23+Z22</f>
        <v>0</v>
      </c>
      <c r="AA21" s="59">
        <f t="shared" ref="AA21" si="40">AA23+AA22</f>
        <v>0</v>
      </c>
      <c r="AB21" s="59">
        <f t="shared" ref="AB21" si="41">AB23+AB22</f>
        <v>5212.7000000000007</v>
      </c>
      <c r="AC21" s="59">
        <f t="shared" ref="AC21" si="42">AC23+AC22</f>
        <v>0</v>
      </c>
      <c r="AD21" s="59">
        <f t="shared" ref="AD21" si="43">AD23+AD22</f>
        <v>0</v>
      </c>
      <c r="AE21" s="59">
        <f t="shared" ref="AE21" si="44">AE23+AE22</f>
        <v>0</v>
      </c>
      <c r="AF21" s="59">
        <f t="shared" ref="AF21" si="45">AF23+AF22</f>
        <v>950</v>
      </c>
      <c r="AG21" s="59">
        <f t="shared" ref="AG21" si="46">AG23+AG22</f>
        <v>0</v>
      </c>
      <c r="AH21" s="568" t="s">
        <v>329</v>
      </c>
      <c r="AI21" s="20"/>
    </row>
    <row r="22" spans="1:35" s="22" customFormat="1" ht="47.25" x14ac:dyDescent="0.25">
      <c r="A22" s="548"/>
      <c r="B22" s="624"/>
      <c r="C22" s="61" t="s">
        <v>22</v>
      </c>
      <c r="D22" s="62">
        <f>SUM(J22,L22,N22,P22,R22,T22,V22,X22,Z22,AB22,AD22,AF22)</f>
        <v>4541.25</v>
      </c>
      <c r="E22" s="62">
        <f>J22+L22+N22+P22+R22+T22+V22+X22+Z22</f>
        <v>243.65</v>
      </c>
      <c r="F22" s="62">
        <f>G22</f>
        <v>243.65</v>
      </c>
      <c r="G22" s="62">
        <f>SUM(K22,M22,O22,Q22,S22,U22,W22,Y22,AA22,AC22,AE22,AG22)</f>
        <v>243.65</v>
      </c>
      <c r="H22" s="62">
        <f>IFERROR(G22/D22*100,0)</f>
        <v>5.3652628681530414</v>
      </c>
      <c r="I22" s="62">
        <f>IFERROR(G22/E22*100,0)</f>
        <v>100</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63">
        <v>4297.6000000000004</v>
      </c>
      <c r="AC22" s="63">
        <v>0</v>
      </c>
      <c r="AD22" s="63">
        <v>0</v>
      </c>
      <c r="AE22" s="63">
        <v>0</v>
      </c>
      <c r="AF22" s="63">
        <v>0</v>
      </c>
      <c r="AG22" s="63">
        <v>0</v>
      </c>
      <c r="AH22" s="569"/>
      <c r="AI22" s="20"/>
    </row>
    <row r="23" spans="1:35" s="22" customFormat="1" ht="31.5" x14ac:dyDescent="0.25">
      <c r="A23" s="520"/>
      <c r="B23" s="624"/>
      <c r="C23" s="61" t="s">
        <v>21</v>
      </c>
      <c r="D23" s="62">
        <f>SUM(J23,L23,N23,P23,R23,T23,V23,X23,Z23,AB23,AD23,AF23)</f>
        <v>1889.2</v>
      </c>
      <c r="E23" s="62">
        <f>J23+L23+N23+P23+R23+T23+V23+X23+Z23</f>
        <v>24.1</v>
      </c>
      <c r="F23" s="62">
        <f>G23</f>
        <v>24.1</v>
      </c>
      <c r="G23" s="62">
        <f>SUM(K23,M23,O23,Q23,S23,U23,W23,Y23,AA23,AC23,AE23,AG23)</f>
        <v>24.1</v>
      </c>
      <c r="H23" s="62">
        <f>IFERROR(G23/D23*100,0)</f>
        <v>1.2756722422189286</v>
      </c>
      <c r="I23" s="62">
        <f>IFERROR(G23/E23*100,0)</f>
        <v>100</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63">
        <f>425.1+490</f>
        <v>915.1</v>
      </c>
      <c r="AC23" s="63">
        <v>0</v>
      </c>
      <c r="AD23" s="63">
        <v>0</v>
      </c>
      <c r="AE23" s="63">
        <v>0</v>
      </c>
      <c r="AF23" s="63">
        <v>950</v>
      </c>
      <c r="AG23" s="63">
        <v>0</v>
      </c>
      <c r="AH23" s="570"/>
      <c r="AI23" s="20"/>
    </row>
    <row r="24" spans="1:35" s="22" customFormat="1" ht="21" x14ac:dyDescent="0.25">
      <c r="A24" s="520"/>
      <c r="B24" s="623" t="s">
        <v>60</v>
      </c>
      <c r="C24" s="57" t="s">
        <v>20</v>
      </c>
      <c r="D24" s="58">
        <f>D26+D25</f>
        <v>33681.730000000003</v>
      </c>
      <c r="E24" s="58">
        <f t="shared" ref="E24" si="47">E26+E25</f>
        <v>21760.5</v>
      </c>
      <c r="F24" s="58">
        <f t="shared" ref="F24" si="48">F26+F25</f>
        <v>21645.65</v>
      </c>
      <c r="G24" s="58">
        <f t="shared" ref="G24" si="49">G26+G25</f>
        <v>21645.65</v>
      </c>
      <c r="H24" s="58">
        <f t="shared" ref="H24" si="50">IFERROR(G24/D24*100,0)</f>
        <v>64.265255971115494</v>
      </c>
      <c r="I24" s="58">
        <f t="shared" ref="I24" si="51">IFERROR(G24/E24*100,0)</f>
        <v>99.47220881873119</v>
      </c>
      <c r="J24" s="59">
        <f>J26+J25</f>
        <v>500</v>
      </c>
      <c r="K24" s="59">
        <f t="shared" ref="K24" si="52">K26+K25</f>
        <v>0</v>
      </c>
      <c r="L24" s="59">
        <f t="shared" ref="L24" si="53">L26+L25</f>
        <v>0</v>
      </c>
      <c r="M24" s="59">
        <f t="shared" ref="M24" si="54">M26+M25</f>
        <v>500</v>
      </c>
      <c r="N24" s="59">
        <f t="shared" ref="N24" si="55">N26+N25</f>
        <v>0</v>
      </c>
      <c r="O24" s="59">
        <f t="shared" ref="O24" si="56">O26+O25</f>
        <v>0</v>
      </c>
      <c r="P24" s="59">
        <f t="shared" ref="P24" si="57">P26+P25</f>
        <v>0</v>
      </c>
      <c r="Q24" s="59">
        <f t="shared" ref="Q24" si="58">Q26+Q25</f>
        <v>0</v>
      </c>
      <c r="R24" s="59">
        <f t="shared" ref="R24" si="59">R26+R25</f>
        <v>0</v>
      </c>
      <c r="S24" s="59">
        <f t="shared" ref="S24" si="60">S26+S25</f>
        <v>0</v>
      </c>
      <c r="T24" s="59">
        <f t="shared" ref="T24" si="61">T26+T25</f>
        <v>1913.5</v>
      </c>
      <c r="U24" s="59">
        <f t="shared" ref="U24" si="62">U26+U25</f>
        <v>1577.01</v>
      </c>
      <c r="V24" s="59">
        <f t="shared" ref="V24" si="63">V26+V25</f>
        <v>19347</v>
      </c>
      <c r="W24" s="59">
        <f t="shared" ref="W24" si="64">W26+W25</f>
        <v>16271.43</v>
      </c>
      <c r="X24" s="59">
        <f t="shared" ref="X24" si="65">X26+X25</f>
        <v>0</v>
      </c>
      <c r="Y24" s="59">
        <f t="shared" ref="Y24" si="66">Y26+Y25</f>
        <v>3297.21</v>
      </c>
      <c r="Z24" s="59">
        <f t="shared" ref="Z24" si="67">Z26+Z25</f>
        <v>0</v>
      </c>
      <c r="AA24" s="59">
        <f t="shared" ref="AA24" si="68">AA26+AA25</f>
        <v>0</v>
      </c>
      <c r="AB24" s="59">
        <f t="shared" ref="AB24" si="69">AB26+AB25</f>
        <v>0</v>
      </c>
      <c r="AC24" s="59">
        <f t="shared" ref="AC24" si="70">AC26+AC25</f>
        <v>0</v>
      </c>
      <c r="AD24" s="59">
        <f t="shared" ref="AD24" si="71">AD26+AD25</f>
        <v>0</v>
      </c>
      <c r="AE24" s="59">
        <f t="shared" ref="AE24" si="72">AE26+AE25</f>
        <v>0</v>
      </c>
      <c r="AF24" s="59">
        <f t="shared" ref="AF24" si="73">AF26+AF25</f>
        <v>11921.230000000001</v>
      </c>
      <c r="AG24" s="59">
        <f t="shared" ref="AG24" si="74">AG26+AG25</f>
        <v>0</v>
      </c>
      <c r="AH24" s="613" t="s">
        <v>417</v>
      </c>
      <c r="AI24" s="20"/>
    </row>
    <row r="25" spans="1:35" s="22" customFormat="1" ht="47.25" x14ac:dyDescent="0.25">
      <c r="A25" s="520"/>
      <c r="B25" s="624"/>
      <c r="C25" s="61" t="s">
        <v>22</v>
      </c>
      <c r="D25" s="74">
        <f>SUM(J25,L25,N25,P25,R25,T25,V25,X25,Z25,AB25,AD25,AF25)</f>
        <v>30650.370000000003</v>
      </c>
      <c r="E25" s="74">
        <f>J25+L25+N25+P25+R25+T25+V25+X25+Z25</f>
        <v>19802</v>
      </c>
      <c r="F25" s="74">
        <f>G25</f>
        <v>19697.54</v>
      </c>
      <c r="G25" s="74">
        <f>SUM(K25,M25,O25,Q25,S25,U25,W25,Y25,AA25,AC25,AE25,AG25)</f>
        <v>19697.54</v>
      </c>
      <c r="H25" s="74">
        <f>IFERROR(G25/D25*100,0)</f>
        <v>64.265260093108168</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0</v>
      </c>
      <c r="AE25" s="67">
        <v>0</v>
      </c>
      <c r="AF25" s="67">
        <v>10848.37</v>
      </c>
      <c r="AG25" s="63">
        <v>0</v>
      </c>
      <c r="AH25" s="614"/>
      <c r="AI25" s="20"/>
    </row>
    <row r="26" spans="1:35" s="22" customFormat="1" ht="31.5" x14ac:dyDescent="0.25">
      <c r="A26" s="521"/>
      <c r="B26" s="624"/>
      <c r="C26" s="61" t="s">
        <v>21</v>
      </c>
      <c r="D26" s="74">
        <f>SUM(J26,L26,N26,P26,R26,T26,V26,X26,Z26,AB26,AD26,AF26)</f>
        <v>3031.3599999999997</v>
      </c>
      <c r="E26" s="74">
        <f>J26+L26+N26+P26+R26+T26+V26+X26+Z26</f>
        <v>1958.5</v>
      </c>
      <c r="F26" s="74">
        <f>G26</f>
        <v>1948.1100000000001</v>
      </c>
      <c r="G26" s="74">
        <f>SUM(K26,M26,O26,Q26,S26,U26,W26,Y26,AA26,AC26,AE26,AG26)</f>
        <v>1948.1100000000001</v>
      </c>
      <c r="H26" s="74">
        <f>IFERROR(G26/D26*100,0)</f>
        <v>64.26521429325453</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0</v>
      </c>
      <c r="AE26" s="67">
        <v>0</v>
      </c>
      <c r="AF26" s="67">
        <v>1072.8599999999999</v>
      </c>
      <c r="AG26" s="63">
        <v>0</v>
      </c>
      <c r="AH26" s="615"/>
      <c r="AI26" s="20"/>
    </row>
    <row r="27" spans="1:35" s="22" customFormat="1" ht="21" x14ac:dyDescent="0.25">
      <c r="A27" s="519"/>
      <c r="B27" s="623" t="s">
        <v>62</v>
      </c>
      <c r="C27" s="57" t="s">
        <v>20</v>
      </c>
      <c r="D27" s="58">
        <f>D29+D28</f>
        <v>17787.2</v>
      </c>
      <c r="E27" s="58">
        <f t="shared" ref="E27" si="75">E29+E28</f>
        <v>17787.2</v>
      </c>
      <c r="F27" s="58">
        <f t="shared" ref="F27" si="76">F29+F28</f>
        <v>10213.51</v>
      </c>
      <c r="G27" s="58">
        <f t="shared" ref="G27" si="77">G29+G28</f>
        <v>10213.51</v>
      </c>
      <c r="H27" s="58">
        <f t="shared" ref="H27" si="78">IFERROR(G27/D27*100,0)</f>
        <v>57.420560852748039</v>
      </c>
      <c r="I27" s="58">
        <f t="shared" ref="I27" si="79">IFERROR(G27/E27*100,0)</f>
        <v>57.420560852748039</v>
      </c>
      <c r="J27" s="59">
        <f>J29+J28</f>
        <v>0</v>
      </c>
      <c r="K27" s="59">
        <f t="shared" ref="K27" si="80">K29+K28</f>
        <v>0</v>
      </c>
      <c r="L27" s="59">
        <f t="shared" ref="L27" si="81">L29+L28</f>
        <v>8041</v>
      </c>
      <c r="M27" s="59">
        <f t="shared" ref="M27" si="82">M29+M28</f>
        <v>8041</v>
      </c>
      <c r="N27" s="59">
        <f t="shared" ref="N27" si="83">N29+N28</f>
        <v>0</v>
      </c>
      <c r="O27" s="59">
        <f t="shared" ref="O27" si="84">O29+O28</f>
        <v>0</v>
      </c>
      <c r="P27" s="59">
        <f t="shared" ref="P27" si="85">P29+P28</f>
        <v>9746.2000000000007</v>
      </c>
      <c r="Q27" s="59">
        <f t="shared" ref="Q27" si="86">Q29+Q28</f>
        <v>2172.5100000000002</v>
      </c>
      <c r="R27" s="59">
        <f t="shared" ref="R27" si="87">R29+R28</f>
        <v>0</v>
      </c>
      <c r="S27" s="59">
        <f t="shared" ref="S27" si="88">S29+S28</f>
        <v>0</v>
      </c>
      <c r="T27" s="59">
        <f t="shared" ref="T27" si="89">T29+T28</f>
        <v>0</v>
      </c>
      <c r="U27" s="59">
        <f t="shared" ref="U27" si="90">U29+U28</f>
        <v>0</v>
      </c>
      <c r="V27" s="59">
        <f t="shared" ref="V27" si="91">V29+V28</f>
        <v>0</v>
      </c>
      <c r="W27" s="59">
        <f t="shared" ref="W27" si="92">W29+W28</f>
        <v>0</v>
      </c>
      <c r="X27" s="59">
        <f t="shared" ref="X27" si="93">X29+X28</f>
        <v>0</v>
      </c>
      <c r="Y27" s="59">
        <f t="shared" ref="Y27" si="94">Y29+Y28</f>
        <v>0</v>
      </c>
      <c r="Z27" s="59">
        <f t="shared" ref="Z27" si="95">Z29+Z28</f>
        <v>0</v>
      </c>
      <c r="AA27" s="59">
        <f t="shared" ref="AA27" si="96">AA29+AA28</f>
        <v>0</v>
      </c>
      <c r="AB27" s="59">
        <f t="shared" ref="AB27" si="97">AB29+AB28</f>
        <v>0</v>
      </c>
      <c r="AC27" s="59">
        <f t="shared" ref="AC27" si="98">AC29+AC28</f>
        <v>0</v>
      </c>
      <c r="AD27" s="59">
        <f t="shared" ref="AD27" si="99">AD29+AD28</f>
        <v>0</v>
      </c>
      <c r="AE27" s="59">
        <f t="shared" ref="AE27" si="100">AE29+AE28</f>
        <v>0</v>
      </c>
      <c r="AF27" s="59">
        <f t="shared" ref="AF27" si="101">AF29+AF28</f>
        <v>0</v>
      </c>
      <c r="AG27" s="59">
        <f t="shared" ref="AG27" si="102">AG29+AG28</f>
        <v>0</v>
      </c>
      <c r="AH27" s="568" t="s">
        <v>408</v>
      </c>
      <c r="AI27" s="20"/>
    </row>
    <row r="28" spans="1:35" s="22" customFormat="1" ht="47.25" x14ac:dyDescent="0.25">
      <c r="A28" s="520"/>
      <c r="B28" s="624"/>
      <c r="C28" s="61" t="s">
        <v>22</v>
      </c>
      <c r="D28" s="62">
        <f>SUM(J28,L28,N28,P28,R28,T28,V28,X28,Z28,AB28,AD28,AF28)</f>
        <v>8869</v>
      </c>
      <c r="E28" s="62">
        <f>J28+L28+N28+P28+R28+T28+V28+X28+Z28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569"/>
      <c r="AI28" s="20"/>
    </row>
    <row r="29" spans="1:35" s="22" customFormat="1" ht="31.5" x14ac:dyDescent="0.25">
      <c r="A29" s="521"/>
      <c r="B29" s="624"/>
      <c r="C29" s="61" t="s">
        <v>21</v>
      </c>
      <c r="D29" s="62">
        <f>SUM(J29,L29,N29,P29,R29,T29,V29,X29,Z29,AB29,AD29,AF29)</f>
        <v>8918.2000000000007</v>
      </c>
      <c r="E29" s="62">
        <f>J29+L29+N29+P29+R29+T29+V29+X29+Z29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570"/>
      <c r="AI29" s="20"/>
    </row>
    <row r="30" spans="1:35" s="22" customFormat="1" ht="21" x14ac:dyDescent="0.25">
      <c r="A30" s="519"/>
      <c r="B30" s="623" t="s">
        <v>409</v>
      </c>
      <c r="C30" s="57" t="s">
        <v>20</v>
      </c>
      <c r="D30" s="58">
        <f>D32+D31</f>
        <v>48117.530000000006</v>
      </c>
      <c r="E30" s="58">
        <f t="shared" ref="E30:G30" si="103">E32+E31</f>
        <v>34452.44</v>
      </c>
      <c r="F30" s="58">
        <f t="shared" si="103"/>
        <v>34452.449999999997</v>
      </c>
      <c r="G30" s="58">
        <f t="shared" si="103"/>
        <v>34452.449999999997</v>
      </c>
      <c r="H30" s="58">
        <f t="shared" ref="H30" si="104">IFERROR(G30/D30*100,0)</f>
        <v>71.600620397597282</v>
      </c>
      <c r="I30" s="58">
        <f t="shared" ref="I30" si="105">IFERROR(G30/E30*100,0)</f>
        <v>100.00002902552039</v>
      </c>
      <c r="J30" s="59">
        <f>J32+J31</f>
        <v>0</v>
      </c>
      <c r="K30" s="59">
        <f t="shared" ref="K30:AG30" si="106">K32+K31</f>
        <v>0</v>
      </c>
      <c r="L30" s="59">
        <f t="shared" si="106"/>
        <v>0</v>
      </c>
      <c r="M30" s="59">
        <f t="shared" si="106"/>
        <v>0</v>
      </c>
      <c r="N30" s="59">
        <f t="shared" si="106"/>
        <v>0</v>
      </c>
      <c r="O30" s="59">
        <f t="shared" si="106"/>
        <v>0</v>
      </c>
      <c r="P30" s="59">
        <f t="shared" si="106"/>
        <v>0</v>
      </c>
      <c r="Q30" s="59">
        <f t="shared" si="106"/>
        <v>0</v>
      </c>
      <c r="R30" s="59">
        <f t="shared" si="106"/>
        <v>0</v>
      </c>
      <c r="S30" s="59">
        <f t="shared" si="106"/>
        <v>0</v>
      </c>
      <c r="T30" s="59">
        <f t="shared" si="106"/>
        <v>0</v>
      </c>
      <c r="U30" s="59">
        <f t="shared" si="106"/>
        <v>0</v>
      </c>
      <c r="V30" s="59">
        <f t="shared" si="106"/>
        <v>19793.589999999997</v>
      </c>
      <c r="W30" s="59">
        <f t="shared" si="106"/>
        <v>19793.589999999997</v>
      </c>
      <c r="X30" s="59">
        <f t="shared" si="106"/>
        <v>11242.59</v>
      </c>
      <c r="Y30" s="59">
        <f t="shared" si="106"/>
        <v>2546.6699999999996</v>
      </c>
      <c r="Z30" s="59">
        <f t="shared" si="106"/>
        <v>3416.26</v>
      </c>
      <c r="AA30" s="59">
        <f t="shared" si="106"/>
        <v>12112.19</v>
      </c>
      <c r="AB30" s="59">
        <f t="shared" si="106"/>
        <v>6832.52</v>
      </c>
      <c r="AC30" s="59">
        <f t="shared" si="106"/>
        <v>0</v>
      </c>
      <c r="AD30" s="59">
        <f t="shared" si="106"/>
        <v>0</v>
      </c>
      <c r="AE30" s="59">
        <f t="shared" si="106"/>
        <v>0</v>
      </c>
      <c r="AF30" s="59">
        <f t="shared" si="106"/>
        <v>6832.57</v>
      </c>
      <c r="AG30" s="59">
        <f t="shared" si="106"/>
        <v>0</v>
      </c>
      <c r="AH30" s="568" t="s">
        <v>418</v>
      </c>
      <c r="AI30" s="20"/>
    </row>
    <row r="31" spans="1:35" s="22" customFormat="1" ht="47.25" x14ac:dyDescent="0.25">
      <c r="A31" s="520"/>
      <c r="B31" s="624"/>
      <c r="C31" s="469" t="s">
        <v>22</v>
      </c>
      <c r="D31" s="62">
        <f>SUM(J31,L31,N31,P31,R31,T31,V31,X31,Z31,AB31,AD31,AF31)</f>
        <v>43786.91</v>
      </c>
      <c r="E31" s="62">
        <f>J31+L31+N31+P31+R31+T31+V31+X31+Z31</f>
        <v>31351.73</v>
      </c>
      <c r="F31" s="62">
        <f>G31</f>
        <v>31351.73</v>
      </c>
      <c r="G31" s="62">
        <f>SUM(K31,M31,O31,Q31,S31,U31,W31,Y31,AA31,AC31,AE31,AG31)</f>
        <v>31351.73</v>
      </c>
      <c r="H31" s="62">
        <f>IFERROR(G31/D31*100,0)</f>
        <v>71.600690708707219</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0</v>
      </c>
      <c r="AD31" s="63">
        <v>0</v>
      </c>
      <c r="AE31" s="63">
        <v>0</v>
      </c>
      <c r="AF31" s="63">
        <v>6217.59</v>
      </c>
      <c r="AG31" s="63">
        <v>0</v>
      </c>
      <c r="AH31" s="569"/>
      <c r="AI31" s="20"/>
    </row>
    <row r="32" spans="1:35" s="22" customFormat="1" ht="31.5" x14ac:dyDescent="0.25">
      <c r="A32" s="520"/>
      <c r="B32" s="625"/>
      <c r="C32" s="469" t="s">
        <v>21</v>
      </c>
      <c r="D32" s="62">
        <f>SUM(J32,L32,N32,P32,R32,T32,V32,X32,Z32,AB32,AD32,AF32)</f>
        <v>4330.62</v>
      </c>
      <c r="E32" s="62">
        <f>J32+L32+N32+P32+R32+T32+V32+X32+Z32</f>
        <v>3100.71</v>
      </c>
      <c r="F32" s="62">
        <f>G32</f>
        <v>3100.7200000000003</v>
      </c>
      <c r="G32" s="62">
        <f>SUM(K32,M32,O32,Q32,S32,U32,W32,Y32,AA32,AC32,AE32,AG32)</f>
        <v>3100.7200000000003</v>
      </c>
      <c r="H32" s="62">
        <f>IFERROR(G32/D32*100,0)</f>
        <v>71.599909481783214</v>
      </c>
      <c r="I32" s="62">
        <f>IFERROR(G32/E32*100,0)</f>
        <v>100.00032250678071</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0</v>
      </c>
      <c r="AD32" s="63">
        <v>0</v>
      </c>
      <c r="AE32" s="63">
        <v>0</v>
      </c>
      <c r="AF32" s="63">
        <v>614.98</v>
      </c>
      <c r="AG32" s="63">
        <v>0</v>
      </c>
      <c r="AH32" s="570"/>
      <c r="AI32" s="20"/>
    </row>
    <row r="33" spans="1:35" s="22" customFormat="1" ht="25.5" customHeight="1" x14ac:dyDescent="0.25">
      <c r="A33" s="88"/>
      <c r="B33" s="511" t="s">
        <v>67</v>
      </c>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3"/>
      <c r="AH33" s="60"/>
      <c r="AI33" s="20"/>
    </row>
    <row r="34" spans="1:35" s="22" customFormat="1" ht="21" x14ac:dyDescent="0.25">
      <c r="A34" s="626" t="s">
        <v>63</v>
      </c>
      <c r="B34" s="590" t="s">
        <v>64</v>
      </c>
      <c r="C34" s="81" t="s">
        <v>20</v>
      </c>
      <c r="D34" s="82">
        <f t="shared" ref="D34:D44" si="107">SUM(J34,L34,N34,P34,R34,T34,V34,X34,Z34,AB34,AD34,AF34)</f>
        <v>9816.7900000000009</v>
      </c>
      <c r="E34" s="82">
        <f>E35+E36+E37</f>
        <v>2.1</v>
      </c>
      <c r="F34" s="82">
        <f>F35+F36+F37</f>
        <v>2.1</v>
      </c>
      <c r="G34" s="82">
        <f>G35+G36+G37</f>
        <v>2.1</v>
      </c>
      <c r="H34" s="82">
        <f t="shared" si="12"/>
        <v>2.1391921391819526E-2</v>
      </c>
      <c r="I34" s="82">
        <f t="shared" si="13"/>
        <v>100</v>
      </c>
      <c r="J34" s="83">
        <f>J35+J36+J37</f>
        <v>0</v>
      </c>
      <c r="K34" s="83">
        <f t="shared" ref="K34:AG34" si="108">K35+K36+K37</f>
        <v>0</v>
      </c>
      <c r="L34" s="83">
        <f t="shared" si="108"/>
        <v>0</v>
      </c>
      <c r="M34" s="83">
        <f t="shared" si="108"/>
        <v>0</v>
      </c>
      <c r="N34" s="83">
        <f t="shared" si="108"/>
        <v>2.1</v>
      </c>
      <c r="O34" s="83">
        <f t="shared" si="108"/>
        <v>2.1</v>
      </c>
      <c r="P34" s="83">
        <f t="shared" si="108"/>
        <v>0</v>
      </c>
      <c r="Q34" s="83">
        <f t="shared" si="108"/>
        <v>0</v>
      </c>
      <c r="R34" s="83">
        <f t="shared" si="108"/>
        <v>0</v>
      </c>
      <c r="S34" s="83">
        <f t="shared" si="108"/>
        <v>0</v>
      </c>
      <c r="T34" s="83">
        <f t="shared" si="108"/>
        <v>0</v>
      </c>
      <c r="U34" s="83">
        <f t="shared" si="108"/>
        <v>0</v>
      </c>
      <c r="V34" s="83">
        <f t="shared" si="108"/>
        <v>0</v>
      </c>
      <c r="W34" s="83">
        <f t="shared" si="108"/>
        <v>0</v>
      </c>
      <c r="X34" s="83">
        <f t="shared" si="108"/>
        <v>0</v>
      </c>
      <c r="Y34" s="83">
        <f t="shared" si="108"/>
        <v>0</v>
      </c>
      <c r="Z34" s="83">
        <f t="shared" si="108"/>
        <v>0</v>
      </c>
      <c r="AA34" s="83">
        <f t="shared" si="108"/>
        <v>0</v>
      </c>
      <c r="AB34" s="83">
        <f t="shared" si="108"/>
        <v>0</v>
      </c>
      <c r="AC34" s="83">
        <f t="shared" si="108"/>
        <v>0</v>
      </c>
      <c r="AD34" s="83">
        <f t="shared" si="108"/>
        <v>0</v>
      </c>
      <c r="AE34" s="83">
        <f t="shared" si="108"/>
        <v>0</v>
      </c>
      <c r="AF34" s="83">
        <f t="shared" si="108"/>
        <v>9814.69</v>
      </c>
      <c r="AG34" s="83">
        <f t="shared" si="108"/>
        <v>0</v>
      </c>
      <c r="AH34" s="568"/>
      <c r="AI34" s="20"/>
    </row>
    <row r="35" spans="1:35" s="22" customFormat="1" ht="31.5" x14ac:dyDescent="0.25">
      <c r="A35" s="627"/>
      <c r="B35" s="591"/>
      <c r="C35" s="61" t="s">
        <v>52</v>
      </c>
      <c r="D35" s="62">
        <f t="shared" si="107"/>
        <v>8547.42</v>
      </c>
      <c r="E35" s="62">
        <f>J35+L35+N35+P35+R35+T35+V35+X35+Z35</f>
        <v>0</v>
      </c>
      <c r="F35" s="62">
        <f>G35</f>
        <v>0</v>
      </c>
      <c r="G35" s="62">
        <f>SUM(K35,M35,O35,Q35,S35,U35,W35,Y35,AA35,AC35,AE35,AG35)</f>
        <v>0</v>
      </c>
      <c r="H35" s="62">
        <f t="shared" si="12"/>
        <v>0</v>
      </c>
      <c r="I35" s="62">
        <f t="shared" si="13"/>
        <v>0</v>
      </c>
      <c r="J35" s="63">
        <f>J39+J41+J43+J46</f>
        <v>0</v>
      </c>
      <c r="K35" s="63">
        <f t="shared" ref="K35:AG35" si="109">K39+K41+K43+K46</f>
        <v>0</v>
      </c>
      <c r="L35" s="63">
        <f t="shared" si="109"/>
        <v>0</v>
      </c>
      <c r="M35" s="63">
        <f t="shared" si="109"/>
        <v>0</v>
      </c>
      <c r="N35" s="63">
        <f t="shared" si="109"/>
        <v>0</v>
      </c>
      <c r="O35" s="63">
        <f t="shared" si="109"/>
        <v>0</v>
      </c>
      <c r="P35" s="63">
        <f t="shared" si="109"/>
        <v>0</v>
      </c>
      <c r="Q35" s="63">
        <f t="shared" si="109"/>
        <v>0</v>
      </c>
      <c r="R35" s="63">
        <f t="shared" si="109"/>
        <v>0</v>
      </c>
      <c r="S35" s="63">
        <f t="shared" si="109"/>
        <v>0</v>
      </c>
      <c r="T35" s="63">
        <f t="shared" si="109"/>
        <v>0</v>
      </c>
      <c r="U35" s="63">
        <f t="shared" si="109"/>
        <v>0</v>
      </c>
      <c r="V35" s="63">
        <f t="shared" si="109"/>
        <v>0</v>
      </c>
      <c r="W35" s="63">
        <f t="shared" si="109"/>
        <v>0</v>
      </c>
      <c r="X35" s="63">
        <f t="shared" si="109"/>
        <v>0</v>
      </c>
      <c r="Y35" s="63">
        <f t="shared" si="109"/>
        <v>0</v>
      </c>
      <c r="Z35" s="63">
        <f t="shared" si="109"/>
        <v>0</v>
      </c>
      <c r="AA35" s="63">
        <f t="shared" si="109"/>
        <v>0</v>
      </c>
      <c r="AB35" s="63">
        <f t="shared" si="109"/>
        <v>0</v>
      </c>
      <c r="AC35" s="63">
        <f t="shared" si="109"/>
        <v>0</v>
      </c>
      <c r="AD35" s="63">
        <f t="shared" si="109"/>
        <v>0</v>
      </c>
      <c r="AE35" s="63">
        <f t="shared" si="109"/>
        <v>0</v>
      </c>
      <c r="AF35" s="63">
        <f t="shared" si="109"/>
        <v>8547.42</v>
      </c>
      <c r="AG35" s="63">
        <f t="shared" si="109"/>
        <v>0</v>
      </c>
      <c r="AH35" s="569"/>
      <c r="AI35" s="20"/>
    </row>
    <row r="36" spans="1:35" s="22" customFormat="1" ht="47.25" x14ac:dyDescent="0.25">
      <c r="A36" s="627"/>
      <c r="B36" s="591"/>
      <c r="C36" s="61" t="s">
        <v>22</v>
      </c>
      <c r="D36" s="62">
        <f t="shared" si="107"/>
        <v>2.1</v>
      </c>
      <c r="E36" s="62">
        <f t="shared" ref="E36:E37" si="110">J36+L36+N36+P36+R36+T36+V36+X36+Z36</f>
        <v>2.1</v>
      </c>
      <c r="F36" s="62">
        <f>G36</f>
        <v>2.1</v>
      </c>
      <c r="G36" s="62">
        <f>SUM(K36,M36,O36,Q36,S36,U36,W36,Y36,AA36,AC36,AE36,AG36)</f>
        <v>2.1</v>
      </c>
      <c r="H36" s="62">
        <f t="shared" si="12"/>
        <v>100</v>
      </c>
      <c r="I36" s="62">
        <f t="shared" si="13"/>
        <v>100</v>
      </c>
      <c r="J36" s="63">
        <f>J47</f>
        <v>0</v>
      </c>
      <c r="K36" s="63">
        <f t="shared" ref="K36:AG36" si="111">K47</f>
        <v>0</v>
      </c>
      <c r="L36" s="63">
        <f t="shared" si="111"/>
        <v>0</v>
      </c>
      <c r="M36" s="63">
        <f t="shared" si="111"/>
        <v>0</v>
      </c>
      <c r="N36" s="63">
        <f t="shared" si="111"/>
        <v>2.1</v>
      </c>
      <c r="O36" s="63">
        <f t="shared" si="111"/>
        <v>2.1</v>
      </c>
      <c r="P36" s="63">
        <f t="shared" si="111"/>
        <v>0</v>
      </c>
      <c r="Q36" s="63">
        <f t="shared" si="111"/>
        <v>0</v>
      </c>
      <c r="R36" s="63">
        <f t="shared" si="111"/>
        <v>0</v>
      </c>
      <c r="S36" s="63">
        <f t="shared" si="111"/>
        <v>0</v>
      </c>
      <c r="T36" s="63">
        <f t="shared" si="111"/>
        <v>0</v>
      </c>
      <c r="U36" s="63">
        <f t="shared" si="111"/>
        <v>0</v>
      </c>
      <c r="V36" s="63">
        <f t="shared" si="111"/>
        <v>0</v>
      </c>
      <c r="W36" s="63">
        <f t="shared" si="111"/>
        <v>0</v>
      </c>
      <c r="X36" s="63">
        <f t="shared" si="111"/>
        <v>0</v>
      </c>
      <c r="Y36" s="63">
        <f t="shared" si="111"/>
        <v>0</v>
      </c>
      <c r="Z36" s="63">
        <f t="shared" si="111"/>
        <v>0</v>
      </c>
      <c r="AA36" s="63">
        <f t="shared" si="111"/>
        <v>0</v>
      </c>
      <c r="AB36" s="63">
        <f t="shared" si="111"/>
        <v>0</v>
      </c>
      <c r="AC36" s="63">
        <f t="shared" si="111"/>
        <v>0</v>
      </c>
      <c r="AD36" s="63">
        <f t="shared" si="111"/>
        <v>0</v>
      </c>
      <c r="AE36" s="63">
        <f t="shared" si="111"/>
        <v>0</v>
      </c>
      <c r="AF36" s="63">
        <f t="shared" si="111"/>
        <v>0</v>
      </c>
      <c r="AG36" s="63">
        <f t="shared" si="111"/>
        <v>0</v>
      </c>
      <c r="AH36" s="570"/>
      <c r="AI36" s="20"/>
    </row>
    <row r="37" spans="1:35" s="22" customFormat="1" ht="31.5" x14ac:dyDescent="0.25">
      <c r="A37" s="628"/>
      <c r="B37" s="592"/>
      <c r="C37" s="469" t="s">
        <v>21</v>
      </c>
      <c r="D37" s="62">
        <f t="shared" si="107"/>
        <v>1267.27</v>
      </c>
      <c r="E37" s="62">
        <f t="shared" si="110"/>
        <v>0</v>
      </c>
      <c r="F37" s="62">
        <f>G37</f>
        <v>0</v>
      </c>
      <c r="G37" s="62">
        <f>SUM(K37,M37,O37,Q37,S37,U37,W37,Y37,AA37,AC37,AE37,AG37)</f>
        <v>0</v>
      </c>
      <c r="H37" s="62">
        <f t="shared" ref="H37" si="112">IFERROR(G37/D37*100,0)</f>
        <v>0</v>
      </c>
      <c r="I37" s="62">
        <f t="shared" ref="I37" si="113">IFERROR(G37/E37*100,0)</f>
        <v>0</v>
      </c>
      <c r="J37" s="63">
        <f>J44</f>
        <v>0</v>
      </c>
      <c r="K37" s="63">
        <f t="shared" ref="K37:AG37" si="114">K44</f>
        <v>0</v>
      </c>
      <c r="L37" s="63">
        <f t="shared" si="114"/>
        <v>0</v>
      </c>
      <c r="M37" s="63">
        <f t="shared" si="114"/>
        <v>0</v>
      </c>
      <c r="N37" s="63">
        <f t="shared" si="114"/>
        <v>0</v>
      </c>
      <c r="O37" s="63">
        <f t="shared" si="114"/>
        <v>0</v>
      </c>
      <c r="P37" s="63">
        <f t="shared" si="114"/>
        <v>0</v>
      </c>
      <c r="Q37" s="63">
        <f t="shared" si="114"/>
        <v>0</v>
      </c>
      <c r="R37" s="63">
        <f t="shared" si="114"/>
        <v>0</v>
      </c>
      <c r="S37" s="63">
        <f t="shared" si="114"/>
        <v>0</v>
      </c>
      <c r="T37" s="63">
        <f t="shared" si="114"/>
        <v>0</v>
      </c>
      <c r="U37" s="63">
        <f t="shared" si="114"/>
        <v>0</v>
      </c>
      <c r="V37" s="63">
        <f t="shared" si="114"/>
        <v>0</v>
      </c>
      <c r="W37" s="63">
        <f t="shared" si="114"/>
        <v>0</v>
      </c>
      <c r="X37" s="63">
        <f t="shared" si="114"/>
        <v>0</v>
      </c>
      <c r="Y37" s="63">
        <f t="shared" si="114"/>
        <v>0</v>
      </c>
      <c r="Z37" s="63">
        <f t="shared" si="114"/>
        <v>0</v>
      </c>
      <c r="AA37" s="63">
        <f t="shared" si="114"/>
        <v>0</v>
      </c>
      <c r="AB37" s="63">
        <f t="shared" si="114"/>
        <v>0</v>
      </c>
      <c r="AC37" s="63">
        <f t="shared" si="114"/>
        <v>0</v>
      </c>
      <c r="AD37" s="63">
        <f t="shared" si="114"/>
        <v>0</v>
      </c>
      <c r="AE37" s="63">
        <f t="shared" si="114"/>
        <v>0</v>
      </c>
      <c r="AF37" s="63">
        <f t="shared" si="114"/>
        <v>1267.27</v>
      </c>
      <c r="AG37" s="63">
        <f t="shared" si="114"/>
        <v>0</v>
      </c>
      <c r="AH37" s="468"/>
      <c r="AI37" s="20"/>
    </row>
    <row r="38" spans="1:35" s="22" customFormat="1" ht="35.25" customHeight="1" x14ac:dyDescent="0.25">
      <c r="A38" s="547"/>
      <c r="B38" s="623" t="s">
        <v>410</v>
      </c>
      <c r="C38" s="57" t="s">
        <v>20</v>
      </c>
      <c r="D38" s="58">
        <f t="shared" si="107"/>
        <v>2200</v>
      </c>
      <c r="E38" s="58">
        <f t="shared" ref="E38:G42" si="115">E39</f>
        <v>0</v>
      </c>
      <c r="F38" s="58">
        <f t="shared" si="115"/>
        <v>0</v>
      </c>
      <c r="G38" s="58">
        <f t="shared" si="115"/>
        <v>0</v>
      </c>
      <c r="H38" s="58">
        <f t="shared" ref="H38:H45" si="116">IFERROR(G38/D38*100,0)</f>
        <v>0</v>
      </c>
      <c r="I38" s="58">
        <f t="shared" ref="I38:I45" si="117">IFERROR(G38/E38*100,0)</f>
        <v>0</v>
      </c>
      <c r="J38" s="59">
        <f>J39</f>
        <v>0</v>
      </c>
      <c r="K38" s="59">
        <f t="shared" ref="K38:AG42" si="118">K39</f>
        <v>0</v>
      </c>
      <c r="L38" s="59">
        <f t="shared" si="118"/>
        <v>0</v>
      </c>
      <c r="M38" s="59">
        <f t="shared" si="118"/>
        <v>0</v>
      </c>
      <c r="N38" s="59">
        <f t="shared" si="118"/>
        <v>0</v>
      </c>
      <c r="O38" s="59">
        <f t="shared" si="118"/>
        <v>0</v>
      </c>
      <c r="P38" s="59">
        <f t="shared" si="118"/>
        <v>0</v>
      </c>
      <c r="Q38" s="59">
        <f t="shared" si="118"/>
        <v>0</v>
      </c>
      <c r="R38" s="59">
        <f t="shared" si="118"/>
        <v>0</v>
      </c>
      <c r="S38" s="59">
        <f t="shared" si="118"/>
        <v>0</v>
      </c>
      <c r="T38" s="59">
        <f t="shared" si="118"/>
        <v>0</v>
      </c>
      <c r="U38" s="59">
        <f t="shared" si="118"/>
        <v>0</v>
      </c>
      <c r="V38" s="59">
        <f t="shared" si="118"/>
        <v>0</v>
      </c>
      <c r="W38" s="59">
        <f t="shared" si="118"/>
        <v>0</v>
      </c>
      <c r="X38" s="59">
        <f t="shared" si="118"/>
        <v>0</v>
      </c>
      <c r="Y38" s="59">
        <f t="shared" si="118"/>
        <v>0</v>
      </c>
      <c r="Z38" s="59">
        <f t="shared" si="118"/>
        <v>0</v>
      </c>
      <c r="AA38" s="59">
        <f t="shared" si="118"/>
        <v>0</v>
      </c>
      <c r="AB38" s="59">
        <f t="shared" si="118"/>
        <v>0</v>
      </c>
      <c r="AC38" s="59">
        <f t="shared" si="118"/>
        <v>0</v>
      </c>
      <c r="AD38" s="59">
        <f t="shared" si="118"/>
        <v>0</v>
      </c>
      <c r="AE38" s="59">
        <f t="shared" si="118"/>
        <v>0</v>
      </c>
      <c r="AF38" s="59">
        <f t="shared" si="118"/>
        <v>2200</v>
      </c>
      <c r="AG38" s="59">
        <f t="shared" si="118"/>
        <v>0</v>
      </c>
      <c r="AH38" s="525" t="s">
        <v>414</v>
      </c>
      <c r="AI38" s="20"/>
    </row>
    <row r="39" spans="1:35" s="22" customFormat="1" ht="51" customHeight="1" x14ac:dyDescent="0.25">
      <c r="A39" s="520"/>
      <c r="B39" s="624"/>
      <c r="C39" s="61" t="s">
        <v>52</v>
      </c>
      <c r="D39" s="62">
        <f t="shared" si="107"/>
        <v>2200</v>
      </c>
      <c r="E39" s="62">
        <f>J39+L39+N39+P39+R39+T39+V39+X39+Z39</f>
        <v>0</v>
      </c>
      <c r="F39" s="62">
        <f>G39</f>
        <v>0</v>
      </c>
      <c r="G39" s="62">
        <f>SUM(K39,M39,O39,Q39,S39,U39,W39,Y39,AA39,AC39,AE39,AG39)</f>
        <v>0</v>
      </c>
      <c r="H39" s="62">
        <f t="shared" si="116"/>
        <v>0</v>
      </c>
      <c r="I39" s="62">
        <f t="shared" si="117"/>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526"/>
      <c r="AI39" s="20"/>
    </row>
    <row r="40" spans="1:35" s="22" customFormat="1" ht="40.5" customHeight="1" x14ac:dyDescent="0.25">
      <c r="A40" s="547"/>
      <c r="B40" s="623" t="s">
        <v>411</v>
      </c>
      <c r="C40" s="57" t="s">
        <v>20</v>
      </c>
      <c r="D40" s="58">
        <f t="shared" si="107"/>
        <v>2200</v>
      </c>
      <c r="E40" s="58">
        <f t="shared" si="115"/>
        <v>0</v>
      </c>
      <c r="F40" s="58">
        <f t="shared" si="115"/>
        <v>0</v>
      </c>
      <c r="G40" s="58">
        <f t="shared" si="115"/>
        <v>0</v>
      </c>
      <c r="H40" s="58">
        <f t="shared" ref="H40:H44" si="119">IFERROR(G40/D40*100,0)</f>
        <v>0</v>
      </c>
      <c r="I40" s="58">
        <f t="shared" ref="I40:I44" si="120">IFERROR(G40/E40*100,0)</f>
        <v>0</v>
      </c>
      <c r="J40" s="59">
        <f>J41</f>
        <v>0</v>
      </c>
      <c r="K40" s="59">
        <f t="shared" si="118"/>
        <v>0</v>
      </c>
      <c r="L40" s="59">
        <f t="shared" si="118"/>
        <v>0</v>
      </c>
      <c r="M40" s="59">
        <f t="shared" si="118"/>
        <v>0</v>
      </c>
      <c r="N40" s="59">
        <f t="shared" si="118"/>
        <v>0</v>
      </c>
      <c r="O40" s="59">
        <f t="shared" si="118"/>
        <v>0</v>
      </c>
      <c r="P40" s="59">
        <f t="shared" si="118"/>
        <v>0</v>
      </c>
      <c r="Q40" s="59">
        <f t="shared" si="118"/>
        <v>0</v>
      </c>
      <c r="R40" s="59">
        <f t="shared" si="118"/>
        <v>0</v>
      </c>
      <c r="S40" s="59">
        <f t="shared" si="118"/>
        <v>0</v>
      </c>
      <c r="T40" s="59">
        <f t="shared" si="118"/>
        <v>0</v>
      </c>
      <c r="U40" s="59">
        <f t="shared" si="118"/>
        <v>0</v>
      </c>
      <c r="V40" s="59">
        <f t="shared" si="118"/>
        <v>0</v>
      </c>
      <c r="W40" s="59">
        <f t="shared" si="118"/>
        <v>0</v>
      </c>
      <c r="X40" s="59">
        <f t="shared" si="118"/>
        <v>0</v>
      </c>
      <c r="Y40" s="59">
        <f t="shared" si="118"/>
        <v>0</v>
      </c>
      <c r="Z40" s="59">
        <f t="shared" si="118"/>
        <v>0</v>
      </c>
      <c r="AA40" s="59">
        <f t="shared" si="118"/>
        <v>0</v>
      </c>
      <c r="AB40" s="59">
        <f t="shared" si="118"/>
        <v>0</v>
      </c>
      <c r="AC40" s="59">
        <f t="shared" si="118"/>
        <v>0</v>
      </c>
      <c r="AD40" s="59">
        <f t="shared" si="118"/>
        <v>0</v>
      </c>
      <c r="AE40" s="59">
        <f t="shared" si="118"/>
        <v>0</v>
      </c>
      <c r="AF40" s="59">
        <f t="shared" si="118"/>
        <v>2200</v>
      </c>
      <c r="AG40" s="59">
        <f t="shared" si="118"/>
        <v>0</v>
      </c>
      <c r="AH40" s="526"/>
      <c r="AI40" s="20"/>
    </row>
    <row r="41" spans="1:35" s="22" customFormat="1" ht="45" customHeight="1" x14ac:dyDescent="0.25">
      <c r="A41" s="593"/>
      <c r="B41" s="625"/>
      <c r="C41" s="469" t="s">
        <v>52</v>
      </c>
      <c r="D41" s="62">
        <f t="shared" si="107"/>
        <v>2200</v>
      </c>
      <c r="E41" s="62">
        <f>J41+L41+N41+P41+R41+T41+V41+X41+Z41</f>
        <v>0</v>
      </c>
      <c r="F41" s="62">
        <f>G41</f>
        <v>0</v>
      </c>
      <c r="G41" s="62">
        <f>SUM(K41,M41,O41,Q41,S41,U41,W41,Y41,AA41,AC41,AE41,AG41)</f>
        <v>0</v>
      </c>
      <c r="H41" s="62">
        <f t="shared" si="119"/>
        <v>0</v>
      </c>
      <c r="I41" s="62">
        <f t="shared" si="120"/>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527"/>
      <c r="AI41" s="20"/>
    </row>
    <row r="42" spans="1:35" s="22" customFormat="1" ht="21" x14ac:dyDescent="0.25">
      <c r="A42" s="547"/>
      <c r="B42" s="623" t="s">
        <v>412</v>
      </c>
      <c r="C42" s="57" t="s">
        <v>20</v>
      </c>
      <c r="D42" s="58">
        <f t="shared" si="107"/>
        <v>5414.6900000000005</v>
      </c>
      <c r="E42" s="58">
        <f t="shared" si="115"/>
        <v>0</v>
      </c>
      <c r="F42" s="58">
        <f t="shared" si="115"/>
        <v>0</v>
      </c>
      <c r="G42" s="58">
        <f t="shared" si="115"/>
        <v>0</v>
      </c>
      <c r="H42" s="58">
        <f t="shared" si="119"/>
        <v>0</v>
      </c>
      <c r="I42" s="58">
        <f t="shared" si="120"/>
        <v>0</v>
      </c>
      <c r="J42" s="59">
        <f>J43+J44</f>
        <v>0</v>
      </c>
      <c r="K42" s="59">
        <f t="shared" ref="K42:AF42" si="121">K43+K44</f>
        <v>0</v>
      </c>
      <c r="L42" s="59">
        <f t="shared" si="121"/>
        <v>0</v>
      </c>
      <c r="M42" s="59">
        <f t="shared" si="121"/>
        <v>0</v>
      </c>
      <c r="N42" s="59">
        <f t="shared" si="121"/>
        <v>0</v>
      </c>
      <c r="O42" s="59">
        <f t="shared" si="121"/>
        <v>0</v>
      </c>
      <c r="P42" s="59">
        <f t="shared" si="121"/>
        <v>0</v>
      </c>
      <c r="Q42" s="59">
        <f t="shared" si="121"/>
        <v>0</v>
      </c>
      <c r="R42" s="59">
        <f t="shared" si="121"/>
        <v>0</v>
      </c>
      <c r="S42" s="59">
        <f t="shared" si="121"/>
        <v>0</v>
      </c>
      <c r="T42" s="59">
        <f t="shared" si="121"/>
        <v>0</v>
      </c>
      <c r="U42" s="59">
        <f t="shared" si="121"/>
        <v>0</v>
      </c>
      <c r="V42" s="59">
        <f t="shared" si="121"/>
        <v>0</v>
      </c>
      <c r="W42" s="59">
        <f t="shared" si="121"/>
        <v>0</v>
      </c>
      <c r="X42" s="59">
        <f t="shared" si="121"/>
        <v>0</v>
      </c>
      <c r="Y42" s="59">
        <f t="shared" si="121"/>
        <v>0</v>
      </c>
      <c r="Z42" s="59">
        <f t="shared" si="121"/>
        <v>0</v>
      </c>
      <c r="AA42" s="59">
        <f t="shared" si="121"/>
        <v>0</v>
      </c>
      <c r="AB42" s="59">
        <f t="shared" si="121"/>
        <v>0</v>
      </c>
      <c r="AC42" s="59">
        <f t="shared" si="121"/>
        <v>0</v>
      </c>
      <c r="AD42" s="59">
        <f t="shared" si="121"/>
        <v>0</v>
      </c>
      <c r="AE42" s="59">
        <f t="shared" si="121"/>
        <v>0</v>
      </c>
      <c r="AF42" s="59">
        <f t="shared" si="121"/>
        <v>5414.6900000000005</v>
      </c>
      <c r="AG42" s="59">
        <f t="shared" si="118"/>
        <v>0</v>
      </c>
      <c r="AH42" s="525" t="s">
        <v>415</v>
      </c>
      <c r="AI42" s="20"/>
    </row>
    <row r="43" spans="1:35" s="22" customFormat="1" ht="31.5" x14ac:dyDescent="0.25">
      <c r="A43" s="548"/>
      <c r="B43" s="624"/>
      <c r="C43" s="469" t="s">
        <v>52</v>
      </c>
      <c r="D43" s="62">
        <f t="shared" si="107"/>
        <v>4147.42</v>
      </c>
      <c r="E43" s="62">
        <f>J43+L43+N43+P43+R43+T43+V43+X43+Z43</f>
        <v>0</v>
      </c>
      <c r="F43" s="62">
        <f>G43</f>
        <v>0</v>
      </c>
      <c r="G43" s="62">
        <f>SUM(K43,M43,O43,Q43,S43,U43,W43,Y43,AA43,AC43,AE43,AG43)</f>
        <v>0</v>
      </c>
      <c r="H43" s="62">
        <f t="shared" si="119"/>
        <v>0</v>
      </c>
      <c r="I43" s="62">
        <f t="shared" si="120"/>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526"/>
      <c r="AI43" s="20"/>
    </row>
    <row r="44" spans="1:35" s="22" customFormat="1" ht="31.5" x14ac:dyDescent="0.25">
      <c r="A44" s="593"/>
      <c r="B44" s="625"/>
      <c r="C44" s="469" t="s">
        <v>21</v>
      </c>
      <c r="D44" s="62">
        <f t="shared" si="107"/>
        <v>1267.27</v>
      </c>
      <c r="E44" s="62">
        <f>J44+L44+N44+P44+R44+T44+V44+X44+Z44</f>
        <v>0</v>
      </c>
      <c r="F44" s="62">
        <f>G44</f>
        <v>0</v>
      </c>
      <c r="G44" s="62">
        <f>SUM(K44,M44,O44,Q44,S44,U44,W44,Y44,AA44,AC44,AE44,AG44)</f>
        <v>0</v>
      </c>
      <c r="H44" s="62">
        <f t="shared" si="119"/>
        <v>0</v>
      </c>
      <c r="I44" s="62">
        <f t="shared" si="120"/>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527"/>
      <c r="AI44" s="20"/>
    </row>
    <row r="45" spans="1:35" s="18" customFormat="1" ht="21" x14ac:dyDescent="0.25">
      <c r="A45" s="519"/>
      <c r="B45" s="623" t="s">
        <v>65</v>
      </c>
      <c r="C45" s="57" t="s">
        <v>20</v>
      </c>
      <c r="D45" s="58">
        <f>D47+D46</f>
        <v>2.1</v>
      </c>
      <c r="E45" s="58">
        <f t="shared" ref="E45" si="122">E47+E46</f>
        <v>2.1</v>
      </c>
      <c r="F45" s="58">
        <f t="shared" ref="F45" si="123">F47+F46</f>
        <v>2.1</v>
      </c>
      <c r="G45" s="58">
        <f t="shared" ref="G45" si="124">G47+G46</f>
        <v>2.1</v>
      </c>
      <c r="H45" s="58">
        <f t="shared" si="116"/>
        <v>100</v>
      </c>
      <c r="I45" s="58">
        <f t="shared" si="117"/>
        <v>100</v>
      </c>
      <c r="J45" s="59">
        <f>J47+J46</f>
        <v>0</v>
      </c>
      <c r="K45" s="59">
        <f>K47+K46</f>
        <v>0</v>
      </c>
      <c r="L45" s="59">
        <f t="shared" ref="L45" si="125">L47+L46</f>
        <v>0</v>
      </c>
      <c r="M45" s="59">
        <f t="shared" ref="M45" si="126">M47+M46</f>
        <v>0</v>
      </c>
      <c r="N45" s="59">
        <f t="shared" ref="N45" si="127">N47+N46</f>
        <v>2.1</v>
      </c>
      <c r="O45" s="59">
        <f t="shared" ref="O45" si="128">O47+O46</f>
        <v>2.1</v>
      </c>
      <c r="P45" s="59">
        <f t="shared" ref="P45" si="129">P47+P46</f>
        <v>0</v>
      </c>
      <c r="Q45" s="59">
        <f t="shared" ref="Q45" si="130">Q47+Q46</f>
        <v>0</v>
      </c>
      <c r="R45" s="59">
        <f t="shared" ref="R45" si="131">R47+R46</f>
        <v>0</v>
      </c>
      <c r="S45" s="59">
        <f t="shared" ref="S45" si="132">S47+S46</f>
        <v>0</v>
      </c>
      <c r="T45" s="59">
        <f t="shared" ref="T45" si="133">T47+T46</f>
        <v>0</v>
      </c>
      <c r="U45" s="59">
        <f t="shared" ref="U45" si="134">U47+U46</f>
        <v>0</v>
      </c>
      <c r="V45" s="59">
        <f t="shared" ref="V45" si="135">V47+V46</f>
        <v>0</v>
      </c>
      <c r="W45" s="59">
        <f t="shared" ref="W45" si="136">W47+W46</f>
        <v>0</v>
      </c>
      <c r="X45" s="59">
        <f t="shared" ref="X45" si="137">X47+X46</f>
        <v>0</v>
      </c>
      <c r="Y45" s="59">
        <f t="shared" ref="Y45" si="138">Y47+Y46</f>
        <v>0</v>
      </c>
      <c r="Z45" s="59">
        <f t="shared" ref="Z45" si="139">Z47+Z46</f>
        <v>0</v>
      </c>
      <c r="AA45" s="59">
        <f t="shared" ref="AA45" si="140">AA47+AA46</f>
        <v>0</v>
      </c>
      <c r="AB45" s="59">
        <f t="shared" ref="AB45" si="141">AB47+AB46</f>
        <v>0</v>
      </c>
      <c r="AC45" s="59">
        <f t="shared" ref="AC45" si="142">AC47+AC46</f>
        <v>0</v>
      </c>
      <c r="AD45" s="59">
        <f t="shared" ref="AD45" si="143">AD47+AD46</f>
        <v>0</v>
      </c>
      <c r="AE45" s="59">
        <f t="shared" ref="AE45" si="144">AE47+AE46</f>
        <v>0</v>
      </c>
      <c r="AF45" s="59">
        <f t="shared" ref="AF45" si="145">AF47+AF46</f>
        <v>0</v>
      </c>
      <c r="AG45" s="59">
        <f t="shared" ref="AG45" si="146">AG47+AG46</f>
        <v>0</v>
      </c>
      <c r="AH45" s="568" t="s">
        <v>413</v>
      </c>
      <c r="AI45" s="19"/>
    </row>
    <row r="46" spans="1:35" s="18" customFormat="1" ht="31.5" x14ac:dyDescent="0.25">
      <c r="A46" s="520"/>
      <c r="B46" s="624"/>
      <c r="C46" s="61" t="s">
        <v>52</v>
      </c>
      <c r="D46" s="62">
        <f>SUM(J46,L46,N46,P46,R46,T46,V46,X46,Z46,AB46,AD46,AF46)</f>
        <v>0</v>
      </c>
      <c r="E46" s="62">
        <f>J46+L46+N46+P46+R46+T46+V46+X46+Z46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569"/>
      <c r="AI46" s="19"/>
    </row>
    <row r="47" spans="1:35" s="18" customFormat="1" ht="47.25" x14ac:dyDescent="0.25">
      <c r="A47" s="521"/>
      <c r="B47" s="624"/>
      <c r="C47" s="61" t="s">
        <v>22</v>
      </c>
      <c r="D47" s="62">
        <f>SUM(J47,L47,N47,P47,R47,T47,V47,X47,Z47,AB47,AD47,AF47)</f>
        <v>2.1</v>
      </c>
      <c r="E47" s="62">
        <f>J47+L47+N47+P47+R47+T47+V47+X47+Z47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570"/>
      <c r="AI47" s="19"/>
    </row>
    <row r="48" spans="1:35" s="28" customFormat="1" ht="21" customHeight="1" x14ac:dyDescent="0.25">
      <c r="A48" s="89"/>
      <c r="B48" s="596" t="s">
        <v>32</v>
      </c>
      <c r="C48" s="597"/>
      <c r="D48" s="597"/>
      <c r="E48" s="597"/>
      <c r="F48" s="597"/>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8"/>
      <c r="AH48" s="43"/>
      <c r="AI48" s="27"/>
    </row>
    <row r="49" spans="1:35" s="30" customFormat="1" ht="27" customHeight="1" x14ac:dyDescent="0.25">
      <c r="A49" s="587" t="s">
        <v>68</v>
      </c>
      <c r="B49" s="590" t="s">
        <v>34</v>
      </c>
      <c r="C49" s="81" t="s">
        <v>20</v>
      </c>
      <c r="D49" s="82">
        <f>D50</f>
        <v>29078.516</v>
      </c>
      <c r="E49" s="82">
        <f t="shared" ref="E49:G49" si="147">E50</f>
        <v>22760.888999999999</v>
      </c>
      <c r="F49" s="82">
        <f t="shared" si="147"/>
        <v>21213.745999999999</v>
      </c>
      <c r="G49" s="82">
        <f t="shared" si="147"/>
        <v>21213.745999999999</v>
      </c>
      <c r="H49" s="82">
        <f t="shared" ref="H49:H58" si="148">IFERROR(G49/D49*100,0)</f>
        <v>72.953330905882538</v>
      </c>
      <c r="I49" s="82">
        <f t="shared" ref="I49:I58" si="149">IFERROR(G49/E49*100,0)</f>
        <v>93.20262490625916</v>
      </c>
      <c r="J49" s="83">
        <f t="shared" ref="J49:AG49" si="150">SUM(J50:J50)</f>
        <v>4244.8339999999998</v>
      </c>
      <c r="K49" s="83">
        <f t="shared" si="150"/>
        <v>1885.85</v>
      </c>
      <c r="L49" s="83">
        <f t="shared" si="150"/>
        <v>2510.96</v>
      </c>
      <c r="M49" s="83">
        <f t="shared" si="150"/>
        <v>2741.24</v>
      </c>
      <c r="N49" s="83">
        <f t="shared" si="150"/>
        <v>1590.85</v>
      </c>
      <c r="O49" s="83">
        <f t="shared" si="150"/>
        <v>1950.12</v>
      </c>
      <c r="P49" s="83">
        <f t="shared" si="150"/>
        <v>3069.6410000000001</v>
      </c>
      <c r="Q49" s="83">
        <f t="shared" si="150"/>
        <v>2079.75</v>
      </c>
      <c r="R49" s="83">
        <f t="shared" si="150"/>
        <v>2283.9940000000001</v>
      </c>
      <c r="S49" s="83">
        <f t="shared" si="150"/>
        <v>2539.58</v>
      </c>
      <c r="T49" s="83">
        <f t="shared" si="150"/>
        <v>1683.15</v>
      </c>
      <c r="U49" s="83">
        <f t="shared" si="150"/>
        <v>2597.2660000000001</v>
      </c>
      <c r="V49" s="83">
        <f t="shared" si="150"/>
        <v>3039.6460000000002</v>
      </c>
      <c r="W49" s="83">
        <f t="shared" si="150"/>
        <v>3129.89</v>
      </c>
      <c r="X49" s="83">
        <f t="shared" si="150"/>
        <v>2294.9940000000001</v>
      </c>
      <c r="Y49" s="83">
        <f t="shared" si="150"/>
        <v>1686.0900000000001</v>
      </c>
      <c r="Z49" s="83">
        <f t="shared" si="150"/>
        <v>2042.8200000000002</v>
      </c>
      <c r="AA49" s="83">
        <f t="shared" si="150"/>
        <v>2603.96</v>
      </c>
      <c r="AB49" s="83">
        <f t="shared" si="150"/>
        <v>2498.6469999999999</v>
      </c>
      <c r="AC49" s="83">
        <f t="shared" si="150"/>
        <v>0</v>
      </c>
      <c r="AD49" s="83">
        <f t="shared" si="150"/>
        <v>2120.52</v>
      </c>
      <c r="AE49" s="83">
        <f t="shared" si="150"/>
        <v>0</v>
      </c>
      <c r="AF49" s="83">
        <f t="shared" si="150"/>
        <v>1698.46</v>
      </c>
      <c r="AG49" s="83">
        <f t="shared" si="150"/>
        <v>0</v>
      </c>
      <c r="AH49" s="559"/>
      <c r="AI49" s="29"/>
    </row>
    <row r="50" spans="1:35" s="31" customFormat="1" ht="72" customHeight="1" x14ac:dyDescent="0.25">
      <c r="A50" s="589"/>
      <c r="B50" s="592"/>
      <c r="C50" s="73" t="s">
        <v>21</v>
      </c>
      <c r="D50" s="74">
        <f>SUM(J50,L50,N50,P50,R50,T50,V50,X50,Z50,AB50,AD50,AF50)</f>
        <v>29078.516</v>
      </c>
      <c r="E50" s="74">
        <f>J50+L50+N50+P50+R50+T50+V50+X50+Z50</f>
        <v>22760.888999999999</v>
      </c>
      <c r="F50" s="74">
        <f>G50</f>
        <v>21213.745999999999</v>
      </c>
      <c r="G50" s="74">
        <f>SUM(K50,M50,O50,Q50,S50,U50,W50,Y50,AA50,AC50,AE50,AG50)</f>
        <v>21213.745999999999</v>
      </c>
      <c r="H50" s="74">
        <f t="shared" si="148"/>
        <v>72.953330905882538</v>
      </c>
      <c r="I50" s="74">
        <f>IFERROR(G50/E50*100,0)</f>
        <v>93.20262490625916</v>
      </c>
      <c r="J50" s="67">
        <f>J52+J54</f>
        <v>4244.8339999999998</v>
      </c>
      <c r="K50" s="67">
        <f t="shared" ref="K50:AG50" si="151">K52+K54</f>
        <v>1885.85</v>
      </c>
      <c r="L50" s="67">
        <f t="shared" si="151"/>
        <v>2510.96</v>
      </c>
      <c r="M50" s="67">
        <f t="shared" si="151"/>
        <v>2741.24</v>
      </c>
      <c r="N50" s="67">
        <f t="shared" si="151"/>
        <v>1590.85</v>
      </c>
      <c r="O50" s="67">
        <f t="shared" si="151"/>
        <v>1950.12</v>
      </c>
      <c r="P50" s="67">
        <f t="shared" si="151"/>
        <v>3069.6410000000001</v>
      </c>
      <c r="Q50" s="67">
        <f t="shared" si="151"/>
        <v>2079.75</v>
      </c>
      <c r="R50" s="67">
        <f t="shared" si="151"/>
        <v>2283.9940000000001</v>
      </c>
      <c r="S50" s="67">
        <f t="shared" si="151"/>
        <v>2539.58</v>
      </c>
      <c r="T50" s="67">
        <f t="shared" si="151"/>
        <v>1683.15</v>
      </c>
      <c r="U50" s="67">
        <f t="shared" si="151"/>
        <v>2597.2660000000001</v>
      </c>
      <c r="V50" s="67">
        <f t="shared" si="151"/>
        <v>3039.6460000000002</v>
      </c>
      <c r="W50" s="67">
        <f t="shared" si="151"/>
        <v>3129.89</v>
      </c>
      <c r="X50" s="67">
        <f t="shared" si="151"/>
        <v>2294.9940000000001</v>
      </c>
      <c r="Y50" s="67">
        <f t="shared" si="151"/>
        <v>1686.0900000000001</v>
      </c>
      <c r="Z50" s="67">
        <f t="shared" si="151"/>
        <v>2042.8200000000002</v>
      </c>
      <c r="AA50" s="67">
        <f t="shared" si="151"/>
        <v>2603.96</v>
      </c>
      <c r="AB50" s="67">
        <f t="shared" si="151"/>
        <v>2498.6469999999999</v>
      </c>
      <c r="AC50" s="67">
        <f t="shared" si="151"/>
        <v>0</v>
      </c>
      <c r="AD50" s="67">
        <f t="shared" si="151"/>
        <v>2120.52</v>
      </c>
      <c r="AE50" s="67">
        <f t="shared" si="151"/>
        <v>0</v>
      </c>
      <c r="AF50" s="67">
        <f t="shared" si="151"/>
        <v>1698.46</v>
      </c>
      <c r="AG50" s="67">
        <f t="shared" si="151"/>
        <v>0</v>
      </c>
      <c r="AH50" s="561"/>
      <c r="AI50" s="29"/>
    </row>
    <row r="51" spans="1:35" s="10" customFormat="1" ht="18.75" customHeight="1" x14ac:dyDescent="0.25">
      <c r="A51" s="508"/>
      <c r="B51" s="623" t="s">
        <v>69</v>
      </c>
      <c r="C51" s="69" t="s">
        <v>20</v>
      </c>
      <c r="D51" s="70">
        <f>D52</f>
        <v>10223.905000000001</v>
      </c>
      <c r="E51" s="70">
        <f t="shared" ref="E51" si="152">E52</f>
        <v>7899.8940000000002</v>
      </c>
      <c r="F51" s="70">
        <f t="shared" ref="F51" si="153">F52</f>
        <v>6725.8660000000009</v>
      </c>
      <c r="G51" s="70">
        <f t="shared" ref="G51" si="154">G52</f>
        <v>6725.8660000000009</v>
      </c>
      <c r="H51" s="70">
        <f t="shared" si="148"/>
        <v>65.78568560642924</v>
      </c>
      <c r="I51" s="70">
        <f t="shared" si="149"/>
        <v>85.13868667098572</v>
      </c>
      <c r="J51" s="71">
        <f t="shared" ref="J51:AG51" si="155">SUM(J52:J52)</f>
        <v>1487.683</v>
      </c>
      <c r="K51" s="71">
        <f t="shared" si="155"/>
        <v>585.05999999999995</v>
      </c>
      <c r="L51" s="71">
        <f t="shared" si="155"/>
        <v>878.49800000000005</v>
      </c>
      <c r="M51" s="71">
        <f t="shared" si="155"/>
        <v>916.68000000000006</v>
      </c>
      <c r="N51" s="71">
        <f t="shared" si="155"/>
        <v>590.38</v>
      </c>
      <c r="O51" s="71">
        <f t="shared" si="155"/>
        <v>565.49</v>
      </c>
      <c r="P51" s="71">
        <f t="shared" si="155"/>
        <v>1097.04</v>
      </c>
      <c r="Q51" s="71">
        <f t="shared" si="155"/>
        <v>815.7</v>
      </c>
      <c r="R51" s="71">
        <f t="shared" si="155"/>
        <v>799.24400000000003</v>
      </c>
      <c r="S51" s="71">
        <f t="shared" si="155"/>
        <v>632.48</v>
      </c>
      <c r="T51" s="71">
        <f t="shared" si="155"/>
        <v>590.38</v>
      </c>
      <c r="U51" s="71">
        <f t="shared" si="155"/>
        <v>869.41600000000005</v>
      </c>
      <c r="V51" s="71">
        <f t="shared" si="155"/>
        <v>1067.0450000000001</v>
      </c>
      <c r="W51" s="71">
        <f t="shared" si="155"/>
        <v>1040.23</v>
      </c>
      <c r="X51" s="71">
        <f t="shared" si="155"/>
        <v>799.24400000000003</v>
      </c>
      <c r="Y51" s="71">
        <f t="shared" si="155"/>
        <v>505.92</v>
      </c>
      <c r="Z51" s="71">
        <f t="shared" si="155"/>
        <v>590.38</v>
      </c>
      <c r="AA51" s="71">
        <f t="shared" si="155"/>
        <v>794.89</v>
      </c>
      <c r="AB51" s="71">
        <f t="shared" si="155"/>
        <v>875.51099999999997</v>
      </c>
      <c r="AC51" s="71">
        <f t="shared" si="155"/>
        <v>0</v>
      </c>
      <c r="AD51" s="71">
        <f t="shared" si="155"/>
        <v>741.31</v>
      </c>
      <c r="AE51" s="71">
        <f t="shared" si="155"/>
        <v>0</v>
      </c>
      <c r="AF51" s="71">
        <f t="shared" si="155"/>
        <v>707.19</v>
      </c>
      <c r="AG51" s="71">
        <f t="shared" si="155"/>
        <v>0</v>
      </c>
      <c r="AH51" s="559"/>
    </row>
    <row r="52" spans="1:35" s="10" customFormat="1" ht="31.5" x14ac:dyDescent="0.25">
      <c r="A52" s="509"/>
      <c r="B52" s="624"/>
      <c r="C52" s="73" t="s">
        <v>21</v>
      </c>
      <c r="D52" s="74">
        <f>SUM(J52,L52,N52,P52,R52,T52,V52,X52,Z52,AB52,AD52,AF52)</f>
        <v>10223.905000000001</v>
      </c>
      <c r="E52" s="74">
        <f>J52+L52+N52+P52+R52+T52+V52+X52+Z52</f>
        <v>7899.8940000000002</v>
      </c>
      <c r="F52" s="74">
        <f>G52</f>
        <v>6725.8660000000009</v>
      </c>
      <c r="G52" s="74">
        <f>SUM(K52,M52,O52,Q52,S52,U52,W52,Y52,AA52,AC52,AE52,AG52)</f>
        <v>6725.8660000000009</v>
      </c>
      <c r="H52" s="74">
        <f t="shared" si="148"/>
        <v>65.78568560642924</v>
      </c>
      <c r="I52" s="74">
        <f t="shared" si="149"/>
        <v>85.13868667098572</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67">
        <v>875.51099999999997</v>
      </c>
      <c r="AC52" s="67">
        <v>0</v>
      </c>
      <c r="AD52" s="67">
        <v>741.31</v>
      </c>
      <c r="AE52" s="67">
        <v>0</v>
      </c>
      <c r="AF52" s="67">
        <v>707.19</v>
      </c>
      <c r="AG52" s="67">
        <v>0</v>
      </c>
      <c r="AH52" s="561"/>
    </row>
    <row r="53" spans="1:35" s="10" customFormat="1" ht="15.75" x14ac:dyDescent="0.25">
      <c r="A53" s="508"/>
      <c r="B53" s="622" t="s">
        <v>70</v>
      </c>
      <c r="C53" s="69" t="s">
        <v>20</v>
      </c>
      <c r="D53" s="70">
        <f>D54</f>
        <v>18854.611000000001</v>
      </c>
      <c r="E53" s="70">
        <f t="shared" ref="E53" si="156">E54</f>
        <v>14860.995000000001</v>
      </c>
      <c r="F53" s="70">
        <f t="shared" ref="F53" si="157">F54</f>
        <v>14487.88</v>
      </c>
      <c r="G53" s="70">
        <f t="shared" ref="G53" si="158">G54</f>
        <v>14487.88</v>
      </c>
      <c r="H53" s="70">
        <f t="shared" si="148"/>
        <v>76.839983598706965</v>
      </c>
      <c r="I53" s="70">
        <f t="shared" si="149"/>
        <v>97.489300009858013</v>
      </c>
      <c r="J53" s="71">
        <f t="shared" ref="J53:AG53" si="159">SUM(J54:J54)</f>
        <v>2757.1509999999998</v>
      </c>
      <c r="K53" s="71">
        <f t="shared" si="159"/>
        <v>1300.79</v>
      </c>
      <c r="L53" s="71">
        <f t="shared" si="159"/>
        <v>1632.462</v>
      </c>
      <c r="M53" s="71">
        <f t="shared" si="159"/>
        <v>1824.56</v>
      </c>
      <c r="N53" s="71">
        <f t="shared" si="159"/>
        <v>1000.47</v>
      </c>
      <c r="O53" s="71">
        <f t="shared" si="159"/>
        <v>1384.6299999999999</v>
      </c>
      <c r="P53" s="71">
        <f t="shared" si="159"/>
        <v>1972.6010000000001</v>
      </c>
      <c r="Q53" s="71">
        <f t="shared" si="159"/>
        <v>1264.05</v>
      </c>
      <c r="R53" s="71">
        <f t="shared" si="159"/>
        <v>1484.75</v>
      </c>
      <c r="S53" s="71">
        <f t="shared" si="159"/>
        <v>1907.1</v>
      </c>
      <c r="T53" s="71">
        <f t="shared" si="159"/>
        <v>1092.77</v>
      </c>
      <c r="U53" s="71">
        <f t="shared" si="159"/>
        <v>1727.85</v>
      </c>
      <c r="V53" s="71">
        <f t="shared" si="159"/>
        <v>1972.6010000000001</v>
      </c>
      <c r="W53" s="71">
        <f t="shared" si="159"/>
        <v>2089.66</v>
      </c>
      <c r="X53" s="71">
        <f t="shared" si="159"/>
        <v>1495.75</v>
      </c>
      <c r="Y53" s="71">
        <f t="shared" si="159"/>
        <v>1180.17</v>
      </c>
      <c r="Z53" s="71">
        <f t="shared" si="159"/>
        <v>1452.44</v>
      </c>
      <c r="AA53" s="71">
        <f t="shared" si="159"/>
        <v>1809.07</v>
      </c>
      <c r="AB53" s="71">
        <f t="shared" si="159"/>
        <v>1623.136</v>
      </c>
      <c r="AC53" s="71">
        <f t="shared" si="159"/>
        <v>0</v>
      </c>
      <c r="AD53" s="71">
        <f t="shared" si="159"/>
        <v>1379.21</v>
      </c>
      <c r="AE53" s="71">
        <f t="shared" si="159"/>
        <v>0</v>
      </c>
      <c r="AF53" s="71">
        <f t="shared" si="159"/>
        <v>991.27</v>
      </c>
      <c r="AG53" s="71">
        <f t="shared" si="159"/>
        <v>0</v>
      </c>
      <c r="AH53" s="514" t="s">
        <v>346</v>
      </c>
    </row>
    <row r="54" spans="1:35" s="10" customFormat="1" ht="31.5" x14ac:dyDescent="0.25">
      <c r="A54" s="509"/>
      <c r="B54" s="622"/>
      <c r="C54" s="73" t="s">
        <v>21</v>
      </c>
      <c r="D54" s="74">
        <f>SUM(J54,L54,N54,P54,R54,T54,V54,X54,Z54,AB54,AD54,AF54)</f>
        <v>18854.611000000001</v>
      </c>
      <c r="E54" s="74">
        <f>J54+L54+N54+P54+R54+T54+V54+X54+Z54</f>
        <v>14860.995000000001</v>
      </c>
      <c r="F54" s="74">
        <f>G54</f>
        <v>14487.88</v>
      </c>
      <c r="G54" s="74">
        <f>SUM(K54,M54,O54,Q54,S54,U54,W54,Y54,AA54,AC54,AE54,AG54)</f>
        <v>14487.88</v>
      </c>
      <c r="H54" s="74">
        <f t="shared" si="148"/>
        <v>76.839983598706965</v>
      </c>
      <c r="I54" s="74">
        <f t="shared" si="149"/>
        <v>97.489300009858013</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0</v>
      </c>
      <c r="AD54" s="67">
        <v>1379.21</v>
      </c>
      <c r="AE54" s="67">
        <v>0</v>
      </c>
      <c r="AF54" s="67">
        <v>991.27</v>
      </c>
      <c r="AG54" s="67">
        <v>0</v>
      </c>
      <c r="AH54" s="515"/>
    </row>
    <row r="55" spans="1:35" ht="15.75" x14ac:dyDescent="0.25">
      <c r="A55" s="587" t="s">
        <v>71</v>
      </c>
      <c r="B55" s="590" t="s">
        <v>72</v>
      </c>
      <c r="C55" s="81" t="s">
        <v>20</v>
      </c>
      <c r="D55" s="82">
        <f>D56</f>
        <v>85238.720000000001</v>
      </c>
      <c r="E55" s="82">
        <f t="shared" ref="E55" si="160">E56</f>
        <v>63347.15</v>
      </c>
      <c r="F55" s="82">
        <f t="shared" ref="F55" si="161">F56</f>
        <v>57901.409999999996</v>
      </c>
      <c r="G55" s="82">
        <f t="shared" ref="G55" si="162">G56</f>
        <v>57901.409999999996</v>
      </c>
      <c r="H55" s="82">
        <f t="shared" si="148"/>
        <v>67.928530602055019</v>
      </c>
      <c r="I55" s="82">
        <f t="shared" si="149"/>
        <v>91.40333858745025</v>
      </c>
      <c r="J55" s="83">
        <f t="shared" ref="J55:AG55" si="163">SUM(J56:J56)</f>
        <v>6354.62</v>
      </c>
      <c r="K55" s="83">
        <f t="shared" si="163"/>
        <v>6145.18</v>
      </c>
      <c r="L55" s="83">
        <f t="shared" si="163"/>
        <v>8341.69</v>
      </c>
      <c r="M55" s="83">
        <f t="shared" si="163"/>
        <v>7922.46</v>
      </c>
      <c r="N55" s="83">
        <f t="shared" si="163"/>
        <v>5571.74</v>
      </c>
      <c r="O55" s="83">
        <f t="shared" si="163"/>
        <v>5202.1099999999997</v>
      </c>
      <c r="P55" s="83">
        <f t="shared" si="163"/>
        <v>6530.21</v>
      </c>
      <c r="Q55" s="83">
        <f t="shared" si="163"/>
        <v>6608.99</v>
      </c>
      <c r="R55" s="83">
        <f t="shared" si="163"/>
        <v>6120.86</v>
      </c>
      <c r="S55" s="83">
        <f t="shared" si="163"/>
        <v>5154.75</v>
      </c>
      <c r="T55" s="83">
        <f t="shared" si="163"/>
        <v>7656.38</v>
      </c>
      <c r="U55" s="83">
        <f t="shared" si="163"/>
        <v>5811.46</v>
      </c>
      <c r="V55" s="83">
        <f t="shared" si="163"/>
        <v>9063.01</v>
      </c>
      <c r="W55" s="83">
        <f t="shared" si="163"/>
        <v>6932.08</v>
      </c>
      <c r="X55" s="83">
        <f t="shared" si="163"/>
        <v>7207.64</v>
      </c>
      <c r="Y55" s="83">
        <f t="shared" si="163"/>
        <v>6349.42</v>
      </c>
      <c r="Z55" s="83">
        <f t="shared" si="163"/>
        <v>6501</v>
      </c>
      <c r="AA55" s="83">
        <f t="shared" si="163"/>
        <v>7774.96</v>
      </c>
      <c r="AB55" s="83">
        <f t="shared" si="163"/>
        <v>7586.9</v>
      </c>
      <c r="AC55" s="83">
        <f t="shared" si="163"/>
        <v>0</v>
      </c>
      <c r="AD55" s="83">
        <f t="shared" si="163"/>
        <v>6037.22</v>
      </c>
      <c r="AE55" s="83">
        <f t="shared" si="163"/>
        <v>0</v>
      </c>
      <c r="AF55" s="83">
        <f t="shared" si="163"/>
        <v>8267.4500000000007</v>
      </c>
      <c r="AG55" s="83">
        <f t="shared" si="163"/>
        <v>0</v>
      </c>
      <c r="AH55" s="559"/>
    </row>
    <row r="56" spans="1:35" ht="96" customHeight="1" x14ac:dyDescent="0.25">
      <c r="A56" s="589"/>
      <c r="B56" s="592"/>
      <c r="C56" s="73" t="s">
        <v>21</v>
      </c>
      <c r="D56" s="74">
        <f>SUM(J56,L56,N56,P56,R56,T56,V56,X56,Z56,AB56,AD56,AF56)</f>
        <v>85238.720000000001</v>
      </c>
      <c r="E56" s="74">
        <f>J56+L56+N56+P56+R56+T56+V56+X56+Z56</f>
        <v>63347.15</v>
      </c>
      <c r="F56" s="74">
        <f>G56</f>
        <v>57901.409999999996</v>
      </c>
      <c r="G56" s="74">
        <f>SUM(K56,M56,O56,Q56,S56,U56,W56,Y56,AA56,AC56,AE56,AG56)</f>
        <v>57901.409999999996</v>
      </c>
      <c r="H56" s="74">
        <f t="shared" si="148"/>
        <v>67.928530602055019</v>
      </c>
      <c r="I56" s="74">
        <f t="shared" si="149"/>
        <v>91.40333858745025</v>
      </c>
      <c r="J56" s="67">
        <f>J58+J60</f>
        <v>6354.62</v>
      </c>
      <c r="K56" s="67">
        <f t="shared" ref="K56:AG56" si="164">K58+K60</f>
        <v>6145.18</v>
      </c>
      <c r="L56" s="67">
        <f t="shared" si="164"/>
        <v>8341.69</v>
      </c>
      <c r="M56" s="67">
        <f t="shared" si="164"/>
        <v>7922.46</v>
      </c>
      <c r="N56" s="67">
        <f t="shared" si="164"/>
        <v>5571.74</v>
      </c>
      <c r="O56" s="67">
        <f t="shared" si="164"/>
        <v>5202.1099999999997</v>
      </c>
      <c r="P56" s="67">
        <f t="shared" si="164"/>
        <v>6530.21</v>
      </c>
      <c r="Q56" s="67">
        <f t="shared" si="164"/>
        <v>6608.99</v>
      </c>
      <c r="R56" s="67">
        <f t="shared" si="164"/>
        <v>6120.86</v>
      </c>
      <c r="S56" s="67">
        <f t="shared" si="164"/>
        <v>5154.75</v>
      </c>
      <c r="T56" s="67">
        <f t="shared" si="164"/>
        <v>7656.38</v>
      </c>
      <c r="U56" s="67">
        <f t="shared" si="164"/>
        <v>5811.46</v>
      </c>
      <c r="V56" s="67">
        <f t="shared" si="164"/>
        <v>9063.01</v>
      </c>
      <c r="W56" s="67">
        <f t="shared" si="164"/>
        <v>6932.08</v>
      </c>
      <c r="X56" s="67">
        <f t="shared" si="164"/>
        <v>7207.64</v>
      </c>
      <c r="Y56" s="67">
        <f t="shared" si="164"/>
        <v>6349.42</v>
      </c>
      <c r="Z56" s="67">
        <f t="shared" si="164"/>
        <v>6501</v>
      </c>
      <c r="AA56" s="67">
        <f t="shared" si="164"/>
        <v>7774.96</v>
      </c>
      <c r="AB56" s="67">
        <f t="shared" si="164"/>
        <v>7586.9</v>
      </c>
      <c r="AC56" s="67">
        <f t="shared" si="164"/>
        <v>0</v>
      </c>
      <c r="AD56" s="67">
        <f t="shared" si="164"/>
        <v>6037.22</v>
      </c>
      <c r="AE56" s="67">
        <f t="shared" si="164"/>
        <v>0</v>
      </c>
      <c r="AF56" s="67">
        <f t="shared" si="164"/>
        <v>8267.4500000000007</v>
      </c>
      <c r="AG56" s="67">
        <f t="shared" si="164"/>
        <v>0</v>
      </c>
      <c r="AH56" s="561"/>
    </row>
    <row r="57" spans="1:35" ht="15.75" x14ac:dyDescent="0.25">
      <c r="A57" s="508"/>
      <c r="B57" s="622" t="s">
        <v>73</v>
      </c>
      <c r="C57" s="69" t="s">
        <v>20</v>
      </c>
      <c r="D57" s="70">
        <f>D58</f>
        <v>85238.720000000001</v>
      </c>
      <c r="E57" s="70">
        <f t="shared" ref="E57" si="165">E58</f>
        <v>63347.15</v>
      </c>
      <c r="F57" s="70">
        <f t="shared" ref="F57" si="166">F58</f>
        <v>57901.409999999996</v>
      </c>
      <c r="G57" s="70">
        <f t="shared" ref="G57" si="167">G58</f>
        <v>57901.409999999996</v>
      </c>
      <c r="H57" s="70">
        <f t="shared" si="148"/>
        <v>67.928530602055019</v>
      </c>
      <c r="I57" s="70">
        <f t="shared" si="149"/>
        <v>91.40333858745025</v>
      </c>
      <c r="J57" s="71">
        <f t="shared" ref="J57:AG57" si="168">SUM(J58:J58)</f>
        <v>6354.62</v>
      </c>
      <c r="K57" s="71">
        <f t="shared" si="168"/>
        <v>6145.18</v>
      </c>
      <c r="L57" s="71">
        <f t="shared" si="168"/>
        <v>8341.69</v>
      </c>
      <c r="M57" s="71">
        <f t="shared" si="168"/>
        <v>7922.46</v>
      </c>
      <c r="N57" s="71">
        <f t="shared" si="168"/>
        <v>5571.74</v>
      </c>
      <c r="O57" s="71">
        <f t="shared" si="168"/>
        <v>5202.1099999999997</v>
      </c>
      <c r="P57" s="71">
        <f t="shared" si="168"/>
        <v>6530.21</v>
      </c>
      <c r="Q57" s="71">
        <f t="shared" si="168"/>
        <v>6608.99</v>
      </c>
      <c r="R57" s="71">
        <f t="shared" si="168"/>
        <v>6120.86</v>
      </c>
      <c r="S57" s="71">
        <f t="shared" si="168"/>
        <v>5154.75</v>
      </c>
      <c r="T57" s="71">
        <f t="shared" si="168"/>
        <v>7656.38</v>
      </c>
      <c r="U57" s="71">
        <f t="shared" si="168"/>
        <v>5811.46</v>
      </c>
      <c r="V57" s="71">
        <f t="shared" si="168"/>
        <v>9063.01</v>
      </c>
      <c r="W57" s="71">
        <f t="shared" si="168"/>
        <v>6932.08</v>
      </c>
      <c r="X57" s="71">
        <f t="shared" si="168"/>
        <v>7207.64</v>
      </c>
      <c r="Y57" s="71">
        <f t="shared" si="168"/>
        <v>6349.42</v>
      </c>
      <c r="Z57" s="71">
        <f t="shared" si="168"/>
        <v>6501</v>
      </c>
      <c r="AA57" s="71">
        <f t="shared" si="168"/>
        <v>7774.96</v>
      </c>
      <c r="AB57" s="71">
        <f t="shared" si="168"/>
        <v>7586.9</v>
      </c>
      <c r="AC57" s="71">
        <f t="shared" si="168"/>
        <v>0</v>
      </c>
      <c r="AD57" s="71">
        <f t="shared" si="168"/>
        <v>6037.22</v>
      </c>
      <c r="AE57" s="71">
        <f t="shared" si="168"/>
        <v>0</v>
      </c>
      <c r="AF57" s="71">
        <f t="shared" si="168"/>
        <v>8267.4500000000007</v>
      </c>
      <c r="AG57" s="71">
        <f t="shared" si="168"/>
        <v>0</v>
      </c>
      <c r="AH57" s="514" t="s">
        <v>339</v>
      </c>
    </row>
    <row r="58" spans="1:35" ht="31.5" x14ac:dyDescent="0.25">
      <c r="A58" s="509"/>
      <c r="B58" s="622"/>
      <c r="C58" s="73" t="s">
        <v>21</v>
      </c>
      <c r="D58" s="74">
        <f>SUM(J58,L58,N58,P58,R58,T58,V58,X58,Z58,AB58,AD58,AF58)</f>
        <v>85238.720000000001</v>
      </c>
      <c r="E58" s="74">
        <f>J58+L58+N58+P58+R58+T58+V58+X58+Z58</f>
        <v>63347.15</v>
      </c>
      <c r="F58" s="74">
        <f>G58</f>
        <v>57901.409999999996</v>
      </c>
      <c r="G58" s="74">
        <f>SUM(K58,M58,O58,Q58,S58,U58,W58,Y58,AA58,AC58,AE58,AG58)</f>
        <v>57901.409999999996</v>
      </c>
      <c r="H58" s="74">
        <f t="shared" si="148"/>
        <v>67.928530602055019</v>
      </c>
      <c r="I58" s="74">
        <f t="shared" si="149"/>
        <v>91.40333858745025</v>
      </c>
      <c r="J58" s="67">
        <v>6354.62</v>
      </c>
      <c r="K58" s="67">
        <v>6145.18</v>
      </c>
      <c r="L58" s="67">
        <v>8341.69</v>
      </c>
      <c r="M58" s="67">
        <v>7922.46</v>
      </c>
      <c r="N58" s="67">
        <v>5571.74</v>
      </c>
      <c r="O58" s="67">
        <v>5202.1099999999997</v>
      </c>
      <c r="P58" s="67">
        <v>6530.21</v>
      </c>
      <c r="Q58" s="67">
        <v>6608.99</v>
      </c>
      <c r="R58" s="67">
        <v>6120.86</v>
      </c>
      <c r="S58" s="67">
        <v>5154.75</v>
      </c>
      <c r="T58" s="67">
        <v>7656.38</v>
      </c>
      <c r="U58" s="67">
        <v>5811.46</v>
      </c>
      <c r="V58" s="67">
        <v>9063.01</v>
      </c>
      <c r="W58" s="67">
        <v>6932.08</v>
      </c>
      <c r="X58" s="67">
        <v>7207.64</v>
      </c>
      <c r="Y58" s="67">
        <v>6349.42</v>
      </c>
      <c r="Z58" s="67">
        <v>6501</v>
      </c>
      <c r="AA58" s="67">
        <v>7774.96</v>
      </c>
      <c r="AB58" s="67">
        <v>7586.9</v>
      </c>
      <c r="AC58" s="67">
        <v>0</v>
      </c>
      <c r="AD58" s="67">
        <v>6037.22</v>
      </c>
      <c r="AE58" s="67">
        <v>0</v>
      </c>
      <c r="AF58" s="67">
        <v>8267.4500000000007</v>
      </c>
      <c r="AG58" s="67">
        <v>0</v>
      </c>
      <c r="AH58" s="515"/>
    </row>
  </sheetData>
  <customSheetViews>
    <customSheetView guid="{133BB3F8-8DD4-4AEF-8CD6-A5FB14681329}" scale="80" state="hidden">
      <pane xSplit="6" ySplit="7" topLeftCell="G16" activePane="bottomRight" state="frozen"/>
      <selection pane="bottomRight" activeCell="F6" sqref="F6"/>
      <pageMargins left="0.7" right="0.7" top="0.75" bottom="0.75" header="0.3" footer="0.3"/>
      <pageSetup paperSize="9" orientation="portrait" r:id="rId1"/>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3"/>
    </customSheetView>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4"/>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5"/>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6"/>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7"/>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8"/>
    </customSheetView>
    <customSheetView guid="{AFADB96A-0516-43C1-9F1B-0604F3CAC04A}" scale="80">
      <pane xSplit="6" ySplit="7" topLeftCell="O44" activePane="bottomRight" state="frozen"/>
      <selection pane="bottomRight" activeCell="AF55" sqref="AF55"/>
      <pageMargins left="0.7" right="0.7" top="0.75" bottom="0.75" header="0.3" footer="0.3"/>
      <pageSetup paperSize="9" orientation="portrait" r:id="rId9"/>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10"/>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11"/>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13"/>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6"/>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7"/>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8"/>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20"/>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1"/>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22"/>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23"/>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24"/>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25"/>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6"/>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27"/>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 ref="B45:B47"/>
    <mergeCell ref="A42:A44"/>
    <mergeCell ref="B42:B44"/>
    <mergeCell ref="A24:A26"/>
    <mergeCell ref="B27:B29"/>
    <mergeCell ref="A27:A29"/>
    <mergeCell ref="A38:A39"/>
    <mergeCell ref="B38:B39"/>
    <mergeCell ref="A55:A56"/>
    <mergeCell ref="B55:B56"/>
    <mergeCell ref="A57:A58"/>
    <mergeCell ref="B57:B58"/>
    <mergeCell ref="B48:AG48"/>
    <mergeCell ref="A49:A50"/>
    <mergeCell ref="B49:B50"/>
    <mergeCell ref="A53:A54"/>
    <mergeCell ref="B53:B54"/>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18:AH20"/>
    <mergeCell ref="AH21:AH23"/>
    <mergeCell ref="AH24:AH26"/>
    <mergeCell ref="AH51:AH52"/>
    <mergeCell ref="AH53:AH54"/>
    <mergeCell ref="AH55:AH56"/>
    <mergeCell ref="AH57:AH58"/>
    <mergeCell ref="AH27:AH29"/>
    <mergeCell ref="AH34:AH36"/>
    <mergeCell ref="AH45:AH47"/>
    <mergeCell ref="AH49:AH50"/>
    <mergeCell ref="AH30:AH32"/>
    <mergeCell ref="AH38:AH41"/>
    <mergeCell ref="AH42:AH44"/>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66" t="s">
        <v>24</v>
      </c>
      <c r="D2" s="566"/>
      <c r="E2" s="566"/>
      <c r="F2" s="566"/>
      <c r="G2" s="566"/>
      <c r="H2" s="566"/>
      <c r="I2" s="566"/>
      <c r="J2" s="566"/>
      <c r="K2" s="566"/>
      <c r="L2" s="566"/>
      <c r="M2" s="566"/>
      <c r="N2" s="566"/>
      <c r="O2" s="566"/>
      <c r="P2" s="566"/>
      <c r="Q2" s="566"/>
      <c r="R2" s="566"/>
      <c r="S2" s="566"/>
      <c r="T2" s="35"/>
      <c r="U2" s="35"/>
      <c r="V2" s="35"/>
      <c r="W2" s="35"/>
      <c r="X2" s="35"/>
      <c r="Y2" s="35"/>
      <c r="Z2" s="35"/>
      <c r="AA2" s="35"/>
      <c r="AB2" s="35"/>
      <c r="AC2" s="35"/>
      <c r="AD2" s="35"/>
      <c r="AE2" s="35"/>
      <c r="AF2" s="35"/>
      <c r="AG2" s="35"/>
      <c r="AH2" s="35"/>
    </row>
    <row r="3" spans="1:35" s="10" customFormat="1" ht="36.75" customHeight="1" x14ac:dyDescent="0.25">
      <c r="A3" s="55"/>
      <c r="B3" s="55"/>
      <c r="C3" s="567" t="s">
        <v>74</v>
      </c>
      <c r="D3" s="567"/>
      <c r="E3" s="567"/>
      <c r="F3" s="567"/>
      <c r="G3" s="567"/>
      <c r="H3" s="567"/>
      <c r="I3" s="567"/>
      <c r="J3" s="567"/>
      <c r="K3" s="567"/>
      <c r="L3" s="567"/>
      <c r="M3" s="567"/>
      <c r="N3" s="567"/>
      <c r="O3" s="567"/>
      <c r="P3" s="567"/>
      <c r="Q3" s="567"/>
      <c r="R3" s="567"/>
      <c r="S3" s="567"/>
      <c r="T3" s="36"/>
      <c r="U3" s="36"/>
      <c r="V3" s="36"/>
      <c r="W3" s="36"/>
      <c r="X3" s="36"/>
      <c r="Y3" s="36"/>
      <c r="Z3" s="36"/>
      <c r="AA3" s="36"/>
      <c r="AB3" s="36"/>
      <c r="AC3" s="36"/>
      <c r="AD3" s="37"/>
      <c r="AE3" s="37"/>
      <c r="AF3" s="37"/>
      <c r="AG3" s="37" t="s">
        <v>0</v>
      </c>
      <c r="AH3" s="37"/>
    </row>
    <row r="4" spans="1:35" s="10" customFormat="1" ht="15" customHeight="1" x14ac:dyDescent="0.25">
      <c r="A4" s="568" t="s">
        <v>26</v>
      </c>
      <c r="B4" s="571" t="s">
        <v>29</v>
      </c>
      <c r="C4" s="571" t="s">
        <v>30</v>
      </c>
      <c r="D4" s="579" t="s">
        <v>1</v>
      </c>
      <c r="E4" s="579" t="s">
        <v>1</v>
      </c>
      <c r="F4" s="579" t="s">
        <v>2</v>
      </c>
      <c r="G4" s="579" t="s">
        <v>3</v>
      </c>
      <c r="H4" s="562" t="s">
        <v>4</v>
      </c>
      <c r="I4" s="563"/>
      <c r="J4" s="562" t="s">
        <v>5</v>
      </c>
      <c r="K4" s="563"/>
      <c r="L4" s="562" t="s">
        <v>6</v>
      </c>
      <c r="M4" s="563"/>
      <c r="N4" s="562" t="s">
        <v>7</v>
      </c>
      <c r="O4" s="563"/>
      <c r="P4" s="562" t="s">
        <v>8</v>
      </c>
      <c r="Q4" s="563"/>
      <c r="R4" s="562" t="s">
        <v>9</v>
      </c>
      <c r="S4" s="563"/>
      <c r="T4" s="562" t="s">
        <v>10</v>
      </c>
      <c r="U4" s="563"/>
      <c r="V4" s="562" t="s">
        <v>11</v>
      </c>
      <c r="W4" s="563"/>
      <c r="X4" s="562" t="s">
        <v>12</v>
      </c>
      <c r="Y4" s="563"/>
      <c r="Z4" s="562" t="s">
        <v>13</v>
      </c>
      <c r="AA4" s="563"/>
      <c r="AB4" s="562" t="s">
        <v>14</v>
      </c>
      <c r="AC4" s="563"/>
      <c r="AD4" s="562" t="s">
        <v>15</v>
      </c>
      <c r="AE4" s="563"/>
      <c r="AF4" s="562" t="s">
        <v>16</v>
      </c>
      <c r="AG4" s="563"/>
      <c r="AH4" s="553" t="s">
        <v>17</v>
      </c>
    </row>
    <row r="5" spans="1:35" s="10" customFormat="1" ht="39" customHeight="1" x14ac:dyDescent="0.25">
      <c r="A5" s="569"/>
      <c r="B5" s="572"/>
      <c r="C5" s="572"/>
      <c r="D5" s="580"/>
      <c r="E5" s="580"/>
      <c r="F5" s="580"/>
      <c r="G5" s="580"/>
      <c r="H5" s="564"/>
      <c r="I5" s="565"/>
      <c r="J5" s="564"/>
      <c r="K5" s="565"/>
      <c r="L5" s="564"/>
      <c r="M5" s="565"/>
      <c r="N5" s="564"/>
      <c r="O5" s="565"/>
      <c r="P5" s="564"/>
      <c r="Q5" s="565"/>
      <c r="R5" s="564"/>
      <c r="S5" s="565"/>
      <c r="T5" s="564"/>
      <c r="U5" s="565"/>
      <c r="V5" s="564"/>
      <c r="W5" s="565"/>
      <c r="X5" s="564"/>
      <c r="Y5" s="565"/>
      <c r="Z5" s="564"/>
      <c r="AA5" s="565"/>
      <c r="AB5" s="564"/>
      <c r="AC5" s="565"/>
      <c r="AD5" s="564"/>
      <c r="AE5" s="565"/>
      <c r="AF5" s="564"/>
      <c r="AG5" s="565"/>
      <c r="AH5" s="554"/>
    </row>
    <row r="6" spans="1:35" s="10" customFormat="1" ht="64.5" customHeight="1" x14ac:dyDescent="0.25">
      <c r="A6" s="570"/>
      <c r="B6" s="573"/>
      <c r="C6" s="573"/>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5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349" customFormat="1" ht="31.5" customHeight="1" x14ac:dyDescent="0.25">
      <c r="A8" s="556"/>
      <c r="B8" s="559" t="s">
        <v>23</v>
      </c>
      <c r="C8" s="346" t="s">
        <v>20</v>
      </c>
      <c r="D8" s="207">
        <f>D9+D10+D11</f>
        <v>799158.24</v>
      </c>
      <c r="E8" s="207">
        <f t="shared" ref="E8:G8" si="0">E9+E10+E11</f>
        <v>610164.07999999996</v>
      </c>
      <c r="F8" s="207">
        <f t="shared" si="0"/>
        <v>582283.14</v>
      </c>
      <c r="G8" s="207">
        <f t="shared" si="0"/>
        <v>582283.14</v>
      </c>
      <c r="H8" s="207">
        <f>IFERROR(G8/D8*100,0)</f>
        <v>72.86205795738276</v>
      </c>
      <c r="I8" s="207">
        <f>IFERROR(G8/E8*100,0)</f>
        <v>95.430583196572314</v>
      </c>
      <c r="J8" s="206">
        <f>J9+J10+J11</f>
        <v>0</v>
      </c>
      <c r="K8" s="206">
        <f t="shared" ref="K8:AG8" si="1">K9+K10+K11</f>
        <v>0</v>
      </c>
      <c r="L8" s="206">
        <f t="shared" si="1"/>
        <v>0</v>
      </c>
      <c r="M8" s="206">
        <f t="shared" si="1"/>
        <v>0</v>
      </c>
      <c r="N8" s="206">
        <f t="shared" si="1"/>
        <v>2235.88</v>
      </c>
      <c r="O8" s="206">
        <f t="shared" si="1"/>
        <v>2235.88</v>
      </c>
      <c r="P8" s="206">
        <f t="shared" si="1"/>
        <v>0</v>
      </c>
      <c r="Q8" s="206">
        <f t="shared" si="1"/>
        <v>0</v>
      </c>
      <c r="R8" s="206">
        <f t="shared" si="1"/>
        <v>0</v>
      </c>
      <c r="S8" s="206">
        <f t="shared" si="1"/>
        <v>0</v>
      </c>
      <c r="T8" s="206">
        <f t="shared" si="1"/>
        <v>89282.95</v>
      </c>
      <c r="U8" s="206">
        <f t="shared" si="1"/>
        <v>89282.95</v>
      </c>
      <c r="V8" s="206">
        <f t="shared" si="1"/>
        <v>284377.98000000004</v>
      </c>
      <c r="W8" s="206">
        <f t="shared" si="1"/>
        <v>284377.98000000004</v>
      </c>
      <c r="X8" s="206">
        <f t="shared" si="1"/>
        <v>21369.27</v>
      </c>
      <c r="Y8" s="206">
        <f t="shared" si="1"/>
        <v>21369.27</v>
      </c>
      <c r="Z8" s="206">
        <f t="shared" si="1"/>
        <v>36658.080000000002</v>
      </c>
      <c r="AA8" s="206">
        <f t="shared" si="1"/>
        <v>8597.48</v>
      </c>
      <c r="AB8" s="206">
        <f t="shared" si="1"/>
        <v>176239.92</v>
      </c>
      <c r="AC8" s="206">
        <f t="shared" si="1"/>
        <v>1272.8900000000001</v>
      </c>
      <c r="AD8" s="206">
        <f t="shared" si="1"/>
        <v>152.66999999999999</v>
      </c>
      <c r="AE8" s="206">
        <f t="shared" si="1"/>
        <v>0</v>
      </c>
      <c r="AF8" s="206">
        <f t="shared" si="1"/>
        <v>188841.49</v>
      </c>
      <c r="AG8" s="206">
        <f t="shared" si="1"/>
        <v>0</v>
      </c>
      <c r="AH8" s="347"/>
    </row>
    <row r="9" spans="1:35" s="26" customFormat="1" ht="48.75" customHeight="1" x14ac:dyDescent="0.25">
      <c r="A9" s="557"/>
      <c r="B9" s="560"/>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557"/>
      <c r="B10" s="560"/>
      <c r="C10" s="73" t="s">
        <v>22</v>
      </c>
      <c r="D10" s="74">
        <v>520764.9</v>
      </c>
      <c r="E10" s="74">
        <v>445671.93</v>
      </c>
      <c r="F10" s="74">
        <v>445671.92</v>
      </c>
      <c r="G10" s="74">
        <v>445671.92</v>
      </c>
      <c r="H10" s="74">
        <f>IFERROR(G10/D10*100,0)</f>
        <v>85.580253200628533</v>
      </c>
      <c r="I10" s="74">
        <f>IFERROR(G10/E10*100,0)</f>
        <v>99.999997756197018</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f t="shared" si="5"/>
        <v>0</v>
      </c>
      <c r="AB10" s="74">
        <v>139731.79</v>
      </c>
      <c r="AC10" s="74">
        <f t="shared" si="5"/>
        <v>0</v>
      </c>
      <c r="AD10" s="74">
        <v>60.87</v>
      </c>
      <c r="AE10" s="74">
        <f t="shared" si="5"/>
        <v>0</v>
      </c>
      <c r="AF10" s="74">
        <v>75032.100000000006</v>
      </c>
      <c r="AG10" s="74">
        <f t="shared" si="5"/>
        <v>0</v>
      </c>
      <c r="AH10" s="75"/>
    </row>
    <row r="11" spans="1:35" s="26" customFormat="1" ht="41.25" customHeight="1" x14ac:dyDescent="0.25">
      <c r="A11" s="558"/>
      <c r="B11" s="561"/>
      <c r="C11" s="73" t="s">
        <v>21</v>
      </c>
      <c r="D11" s="74">
        <v>278393.34000000003</v>
      </c>
      <c r="E11" s="74">
        <v>164492.15</v>
      </c>
      <c r="F11" s="74">
        <v>136611.22</v>
      </c>
      <c r="G11" s="74">
        <v>136611.22</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f t="shared" si="6"/>
        <v>8597.48</v>
      </c>
      <c r="AB11" s="74">
        <v>36508.129999999997</v>
      </c>
      <c r="AC11" s="74">
        <f t="shared" si="6"/>
        <v>1272.8900000000001</v>
      </c>
      <c r="AD11" s="74">
        <v>91.8</v>
      </c>
      <c r="AE11" s="74">
        <f t="shared" si="6"/>
        <v>0</v>
      </c>
      <c r="AF11" s="74">
        <v>113809.39</v>
      </c>
      <c r="AG11" s="74">
        <f t="shared" si="6"/>
        <v>0</v>
      </c>
      <c r="AH11" s="75"/>
    </row>
    <row r="12" spans="1:35" s="18" customFormat="1" ht="18.75" customHeight="1" x14ac:dyDescent="0.25">
      <c r="A12" s="68"/>
      <c r="B12" s="511" t="s">
        <v>75</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3"/>
      <c r="AH12" s="46"/>
    </row>
    <row r="13" spans="1:35" s="349" customFormat="1" ht="31.5" customHeight="1" x14ac:dyDescent="0.25">
      <c r="A13" s="519" t="s">
        <v>50</v>
      </c>
      <c r="B13" s="629" t="s">
        <v>78</v>
      </c>
      <c r="C13" s="346" t="s">
        <v>20</v>
      </c>
      <c r="D13" s="207">
        <f>D15+D16+D14</f>
        <v>471431.8</v>
      </c>
      <c r="E13" s="207">
        <f t="shared" ref="E13:AG13" si="7">E15+E16+E14</f>
        <v>471364.23</v>
      </c>
      <c r="F13" s="207">
        <v>471364.22</v>
      </c>
      <c r="G13" s="207">
        <v>471364.22</v>
      </c>
      <c r="H13" s="207">
        <f>IFERROR(G13/D13*100,0)</f>
        <v>99.985664946658233</v>
      </c>
      <c r="I13" s="207">
        <f>IFERROR(G13/E13*100,0)</f>
        <v>99.99999787849832</v>
      </c>
      <c r="J13" s="207">
        <f t="shared" si="7"/>
        <v>0</v>
      </c>
      <c r="K13" s="207">
        <f t="shared" si="7"/>
        <v>0</v>
      </c>
      <c r="L13" s="207">
        <f t="shared" si="7"/>
        <v>0</v>
      </c>
      <c r="M13" s="207">
        <f t="shared" si="7"/>
        <v>0</v>
      </c>
      <c r="N13" s="207">
        <f t="shared" si="7"/>
        <v>2235.88</v>
      </c>
      <c r="O13" s="207">
        <f t="shared" si="7"/>
        <v>2235.88</v>
      </c>
      <c r="P13" s="207">
        <v>0</v>
      </c>
      <c r="Q13" s="207">
        <f t="shared" si="7"/>
        <v>0</v>
      </c>
      <c r="R13" s="207">
        <f t="shared" si="7"/>
        <v>0</v>
      </c>
      <c r="S13" s="207">
        <f t="shared" si="7"/>
        <v>0</v>
      </c>
      <c r="T13" s="207">
        <f t="shared" si="7"/>
        <v>0</v>
      </c>
      <c r="U13" s="207">
        <f t="shared" si="7"/>
        <v>0</v>
      </c>
      <c r="V13" s="207">
        <f t="shared" si="7"/>
        <v>284377.98000000004</v>
      </c>
      <c r="W13" s="207">
        <f t="shared" si="7"/>
        <v>284377.98000000004</v>
      </c>
      <c r="X13" s="207">
        <v>9603.68</v>
      </c>
      <c r="Y13" s="207">
        <f t="shared" si="7"/>
        <v>0</v>
      </c>
      <c r="Z13" s="207">
        <f t="shared" si="7"/>
        <v>28060.6</v>
      </c>
      <c r="AA13" s="207">
        <f t="shared" si="7"/>
        <v>0</v>
      </c>
      <c r="AB13" s="207">
        <f t="shared" si="7"/>
        <v>147086.1</v>
      </c>
      <c r="AC13" s="207">
        <f t="shared" si="7"/>
        <v>0</v>
      </c>
      <c r="AD13" s="207">
        <f t="shared" si="7"/>
        <v>64.069999999999993</v>
      </c>
      <c r="AE13" s="207">
        <f t="shared" si="7"/>
        <v>0</v>
      </c>
      <c r="AF13" s="207">
        <f t="shared" si="7"/>
        <v>3.5</v>
      </c>
      <c r="AG13" s="207">
        <f t="shared" si="7"/>
        <v>0</v>
      </c>
      <c r="AH13" s="347"/>
      <c r="AI13" s="348"/>
    </row>
    <row r="14" spans="1:35" s="21" customFormat="1" ht="42.75" hidden="1" customHeight="1" x14ac:dyDescent="0.25">
      <c r="A14" s="520"/>
      <c r="B14" s="630"/>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520"/>
      <c r="B15" s="630"/>
      <c r="C15" s="61" t="s">
        <v>22</v>
      </c>
      <c r="D15" s="62">
        <v>445732.8</v>
      </c>
      <c r="E15" s="62">
        <v>445671.93</v>
      </c>
      <c r="F15" s="62">
        <v>445671.92</v>
      </c>
      <c r="G15" s="62">
        <v>445671.92</v>
      </c>
      <c r="H15" s="62">
        <f>IFERROR(G15/D15*100,0)</f>
        <v>99.986341592990229</v>
      </c>
      <c r="I15" s="62">
        <f t="shared" si="9"/>
        <v>99.999997756197018</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0</v>
      </c>
      <c r="Z15" s="63">
        <v>26657.57</v>
      </c>
      <c r="AA15" s="63">
        <v>0</v>
      </c>
      <c r="AB15" s="63">
        <v>139731.79</v>
      </c>
      <c r="AC15" s="63">
        <v>0</v>
      </c>
      <c r="AD15" s="63">
        <v>60.87</v>
      </c>
      <c r="AE15" s="63">
        <v>0</v>
      </c>
      <c r="AF15" s="63">
        <v>0</v>
      </c>
      <c r="AG15" s="63">
        <v>0</v>
      </c>
      <c r="AH15" s="353" t="s">
        <v>359</v>
      </c>
      <c r="AI15" s="23">
        <f t="shared" ref="AI15:AI23" si="10">E16-G16</f>
        <v>0</v>
      </c>
    </row>
    <row r="16" spans="1:35" s="22" customFormat="1" ht="76.5" customHeight="1" x14ac:dyDescent="0.25">
      <c r="A16" s="521"/>
      <c r="B16" s="631"/>
      <c r="C16" s="61" t="s">
        <v>21</v>
      </c>
      <c r="D16" s="62">
        <v>25699</v>
      </c>
      <c r="E16" s="62">
        <v>25692.3</v>
      </c>
      <c r="F16" s="62">
        <v>25692.3</v>
      </c>
      <c r="G16" s="62">
        <v>25692.3</v>
      </c>
      <c r="H16" s="62">
        <v>100</v>
      </c>
      <c r="I16" s="62">
        <f>IFERROR(G16/E16*100,0)</f>
        <v>100</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0</v>
      </c>
      <c r="Z16" s="67">
        <v>1403.03</v>
      </c>
      <c r="AA16" s="67">
        <v>0</v>
      </c>
      <c r="AB16" s="67">
        <v>7354.31</v>
      </c>
      <c r="AC16" s="67">
        <v>0</v>
      </c>
      <c r="AD16" s="67">
        <v>3.2</v>
      </c>
      <c r="AE16" s="67">
        <v>0</v>
      </c>
      <c r="AF16" s="67">
        <v>3.5</v>
      </c>
      <c r="AG16" s="67">
        <v>0</v>
      </c>
      <c r="AH16" s="64"/>
      <c r="AI16" s="302">
        <f t="shared" si="10"/>
        <v>34951.800000000003</v>
      </c>
    </row>
    <row r="17" spans="1:35" s="22" customFormat="1" ht="28.5" customHeight="1" x14ac:dyDescent="0.25">
      <c r="A17" s="519" t="s">
        <v>76</v>
      </c>
      <c r="B17" s="629"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302">
        <f t="shared" si="10"/>
        <v>7660.6</v>
      </c>
    </row>
    <row r="18" spans="1:35" s="26" customFormat="1" ht="55.5" customHeight="1" x14ac:dyDescent="0.25">
      <c r="A18" s="520"/>
      <c r="B18" s="630"/>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03">
        <f t="shared" si="10"/>
        <v>21832.9</v>
      </c>
    </row>
    <row r="19" spans="1:35" s="26" customFormat="1" ht="37.5" customHeight="1" x14ac:dyDescent="0.25">
      <c r="A19" s="520"/>
      <c r="B19" s="630"/>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03">
        <f t="shared" si="10"/>
        <v>5458.3</v>
      </c>
    </row>
    <row r="20" spans="1:35" s="26" customFormat="1" ht="37.5" customHeight="1" x14ac:dyDescent="0.25">
      <c r="A20" s="521"/>
      <c r="B20" s="631"/>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03">
        <f t="shared" si="10"/>
        <v>27880.930000000008</v>
      </c>
    </row>
    <row r="21" spans="1:35" s="351" customFormat="1" ht="87.75" customHeight="1" x14ac:dyDescent="0.25">
      <c r="A21" s="508" t="s">
        <v>37</v>
      </c>
      <c r="B21" s="629" t="s">
        <v>79</v>
      </c>
      <c r="C21" s="346" t="s">
        <v>20</v>
      </c>
      <c r="D21" s="207">
        <v>233475.34</v>
      </c>
      <c r="E21" s="207">
        <f t="shared" ref="E21" si="15">E22</f>
        <v>138799.85</v>
      </c>
      <c r="F21" s="207">
        <f t="shared" ref="F21" si="16">F22</f>
        <v>110918.92</v>
      </c>
      <c r="G21" s="207">
        <f t="shared" ref="G21" si="17">G22</f>
        <v>110918.92</v>
      </c>
      <c r="H21" s="207">
        <f>IFERROR(G21/D21*100,0)</f>
        <v>47.507766773141867</v>
      </c>
      <c r="I21" s="207">
        <f>IFERROR(G21/E21*100,0)</f>
        <v>79.912852931757484</v>
      </c>
      <c r="J21" s="206">
        <f t="shared" ref="J21:AG21" si="18">SUM(J22:J22)</f>
        <v>0</v>
      </c>
      <c r="K21" s="206">
        <f t="shared" si="18"/>
        <v>0</v>
      </c>
      <c r="L21" s="206">
        <f t="shared" si="18"/>
        <v>0</v>
      </c>
      <c r="M21" s="206">
        <f t="shared" si="18"/>
        <v>0</v>
      </c>
      <c r="N21" s="206">
        <f t="shared" si="18"/>
        <v>0</v>
      </c>
      <c r="O21" s="206">
        <f t="shared" si="18"/>
        <v>0</v>
      </c>
      <c r="P21" s="206">
        <f t="shared" si="18"/>
        <v>0</v>
      </c>
      <c r="Q21" s="206">
        <f t="shared" si="18"/>
        <v>0</v>
      </c>
      <c r="R21" s="206">
        <f t="shared" si="18"/>
        <v>0</v>
      </c>
      <c r="S21" s="206">
        <f t="shared" si="18"/>
        <v>0</v>
      </c>
      <c r="T21" s="206">
        <f t="shared" si="18"/>
        <v>89282.95</v>
      </c>
      <c r="U21" s="206">
        <f t="shared" si="18"/>
        <v>89282.95</v>
      </c>
      <c r="V21" s="206">
        <f t="shared" si="18"/>
        <v>0</v>
      </c>
      <c r="W21" s="206">
        <f t="shared" si="18"/>
        <v>0</v>
      </c>
      <c r="X21" s="206">
        <f t="shared" si="18"/>
        <v>11765.6</v>
      </c>
      <c r="Y21" s="206">
        <f t="shared" si="18"/>
        <v>11765.6</v>
      </c>
      <c r="Z21" s="206">
        <f t="shared" si="18"/>
        <v>8597.48</v>
      </c>
      <c r="AA21" s="206">
        <f t="shared" si="18"/>
        <v>8597.48</v>
      </c>
      <c r="AB21" s="206">
        <f t="shared" si="18"/>
        <v>29153.82</v>
      </c>
      <c r="AC21" s="206">
        <f t="shared" si="18"/>
        <v>1272.8900000000001</v>
      </c>
      <c r="AD21" s="206">
        <f t="shared" si="18"/>
        <v>88.6</v>
      </c>
      <c r="AE21" s="206">
        <f t="shared" si="18"/>
        <v>0</v>
      </c>
      <c r="AF21" s="206">
        <f t="shared" si="18"/>
        <v>94586.89</v>
      </c>
      <c r="AG21" s="206">
        <f t="shared" si="18"/>
        <v>0</v>
      </c>
      <c r="AH21" s="347"/>
      <c r="AI21" s="352">
        <f t="shared" si="10"/>
        <v>27880.930000000008</v>
      </c>
    </row>
    <row r="22" spans="1:35" s="26" customFormat="1" ht="107.25" customHeight="1" x14ac:dyDescent="0.25">
      <c r="A22" s="509"/>
      <c r="B22" s="631"/>
      <c r="C22" s="73" t="s">
        <v>21</v>
      </c>
      <c r="D22" s="74">
        <v>233475.34</v>
      </c>
      <c r="E22" s="74">
        <v>138799.85</v>
      </c>
      <c r="F22" s="74">
        <v>110918.92</v>
      </c>
      <c r="G22" s="74">
        <v>110918.92</v>
      </c>
      <c r="H22" s="74">
        <v>50.38</v>
      </c>
      <c r="I22" s="74">
        <f>IFERROR(G22/E22*100,0)</f>
        <v>79.912852931757484</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88.6</v>
      </c>
      <c r="AE22" s="67">
        <v>0</v>
      </c>
      <c r="AF22" s="67">
        <v>94586.89</v>
      </c>
      <c r="AG22" s="67">
        <v>0</v>
      </c>
      <c r="AH22" s="72"/>
      <c r="AI22" s="303">
        <f t="shared" si="10"/>
        <v>0</v>
      </c>
    </row>
    <row r="23" spans="1:35" s="26" customFormat="1" ht="20.25" customHeight="1" x14ac:dyDescent="0.25">
      <c r="A23" s="90"/>
      <c r="B23" s="632" t="s">
        <v>80</v>
      </c>
      <c r="C23" s="633"/>
      <c r="D23" s="633"/>
      <c r="E23" s="633"/>
      <c r="F23" s="633"/>
      <c r="G23" s="633"/>
      <c r="H23" s="633"/>
      <c r="I23" s="633"/>
      <c r="J23" s="633"/>
      <c r="K23" s="633"/>
      <c r="L23" s="512"/>
      <c r="M23" s="512"/>
      <c r="N23" s="512"/>
      <c r="O23" s="512"/>
      <c r="P23" s="512"/>
      <c r="Q23" s="512"/>
      <c r="R23" s="512"/>
      <c r="S23" s="512"/>
      <c r="T23" s="512"/>
      <c r="U23" s="512"/>
      <c r="V23" s="512"/>
      <c r="W23" s="512"/>
      <c r="X23" s="512"/>
      <c r="Y23" s="512"/>
      <c r="Z23" s="512"/>
      <c r="AA23" s="512"/>
      <c r="AB23" s="512"/>
      <c r="AC23" s="512"/>
      <c r="AD23" s="512"/>
      <c r="AE23" s="512"/>
      <c r="AF23" s="512"/>
      <c r="AG23" s="513"/>
      <c r="AH23" s="72"/>
      <c r="AI23" s="303">
        <f t="shared" si="10"/>
        <v>0</v>
      </c>
    </row>
    <row r="24" spans="1:35" s="351" customFormat="1" ht="270.75" customHeight="1" x14ac:dyDescent="0.25">
      <c r="A24" s="508" t="s">
        <v>38</v>
      </c>
      <c r="B24" s="629" t="s">
        <v>81</v>
      </c>
      <c r="C24" s="346" t="s">
        <v>20</v>
      </c>
      <c r="D24" s="207">
        <f>D25</f>
        <v>460.9</v>
      </c>
      <c r="E24" s="207">
        <f t="shared" ref="E24" si="19">E25</f>
        <v>0</v>
      </c>
      <c r="F24" s="207">
        <f t="shared" ref="F24" si="20">F25</f>
        <v>0</v>
      </c>
      <c r="G24" s="207">
        <f t="shared" ref="G24" si="21">G25</f>
        <v>0</v>
      </c>
      <c r="H24" s="207">
        <f>IFERROR(G24/D24*100,0)</f>
        <v>0</v>
      </c>
      <c r="I24" s="207">
        <f>IFERROR(G24/E24*100,0)</f>
        <v>0</v>
      </c>
      <c r="J24" s="206">
        <f t="shared" ref="J24:AG24" si="22">SUM(J25:J25)</f>
        <v>0</v>
      </c>
      <c r="K24" s="206">
        <f t="shared" si="22"/>
        <v>0</v>
      </c>
      <c r="L24" s="206">
        <f t="shared" si="22"/>
        <v>0</v>
      </c>
      <c r="M24" s="206">
        <f t="shared" si="22"/>
        <v>0</v>
      </c>
      <c r="N24" s="206">
        <f t="shared" si="22"/>
        <v>0</v>
      </c>
      <c r="O24" s="206">
        <f t="shared" si="22"/>
        <v>0</v>
      </c>
      <c r="P24" s="206">
        <f t="shared" si="22"/>
        <v>0</v>
      </c>
      <c r="Q24" s="206">
        <f t="shared" si="22"/>
        <v>0</v>
      </c>
      <c r="R24" s="206">
        <f t="shared" si="22"/>
        <v>0</v>
      </c>
      <c r="S24" s="206">
        <f t="shared" si="22"/>
        <v>0</v>
      </c>
      <c r="T24" s="206">
        <f t="shared" si="22"/>
        <v>0</v>
      </c>
      <c r="U24" s="206">
        <f t="shared" si="22"/>
        <v>0</v>
      </c>
      <c r="V24" s="206">
        <f t="shared" si="22"/>
        <v>0</v>
      </c>
      <c r="W24" s="206">
        <f t="shared" si="22"/>
        <v>0</v>
      </c>
      <c r="X24" s="206">
        <f t="shared" si="22"/>
        <v>0</v>
      </c>
      <c r="Y24" s="206">
        <f t="shared" si="22"/>
        <v>0</v>
      </c>
      <c r="Z24" s="206">
        <f t="shared" si="22"/>
        <v>0</v>
      </c>
      <c r="AA24" s="206">
        <f t="shared" si="22"/>
        <v>0</v>
      </c>
      <c r="AB24" s="206">
        <f t="shared" si="22"/>
        <v>0</v>
      </c>
      <c r="AC24" s="206">
        <f t="shared" si="22"/>
        <v>0</v>
      </c>
      <c r="AD24" s="206">
        <f t="shared" si="22"/>
        <v>0</v>
      </c>
      <c r="AE24" s="206">
        <f t="shared" si="22"/>
        <v>0</v>
      </c>
      <c r="AF24" s="206">
        <f t="shared" si="22"/>
        <v>460.9</v>
      </c>
      <c r="AG24" s="206">
        <f t="shared" si="22"/>
        <v>0</v>
      </c>
      <c r="AH24" s="354"/>
      <c r="AI24" s="350"/>
    </row>
    <row r="25" spans="1:35" s="26" customFormat="1" ht="165.75" customHeight="1" x14ac:dyDescent="0.25">
      <c r="A25" s="509"/>
      <c r="B25" s="631"/>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511" t="s">
        <v>82</v>
      </c>
      <c r="C26" s="512"/>
      <c r="D26" s="512"/>
      <c r="E26" s="512"/>
      <c r="F26" s="512"/>
      <c r="G26" s="512"/>
      <c r="H26" s="512"/>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3"/>
      <c r="AH26" s="92"/>
    </row>
    <row r="27" spans="1:35" s="349" customFormat="1" ht="31.5" customHeight="1" x14ac:dyDescent="0.25">
      <c r="A27" s="519" t="s">
        <v>63</v>
      </c>
      <c r="B27" s="553" t="s">
        <v>83</v>
      </c>
      <c r="C27" s="346" t="s">
        <v>20</v>
      </c>
      <c r="D27" s="207">
        <f>D29+D30+D28</f>
        <v>93790.200000000012</v>
      </c>
      <c r="E27" s="207">
        <f t="shared" ref="E27:G27" si="23">E29+E30+E28</f>
        <v>0</v>
      </c>
      <c r="F27" s="207">
        <f t="shared" si="23"/>
        <v>0</v>
      </c>
      <c r="G27" s="207">
        <f t="shared" si="23"/>
        <v>0</v>
      </c>
      <c r="H27" s="207">
        <f t="shared" ref="H27:H30" si="24">IFERROR(G27/D27*100,0)</f>
        <v>0</v>
      </c>
      <c r="I27" s="207">
        <f t="shared" ref="I27:I30" si="25">IFERROR(G27/E27*100,0)</f>
        <v>0</v>
      </c>
      <c r="J27" s="207">
        <f t="shared" ref="J27:AG27" si="26">J29+J30+J28</f>
        <v>0</v>
      </c>
      <c r="K27" s="207">
        <f t="shared" si="26"/>
        <v>0</v>
      </c>
      <c r="L27" s="207">
        <f t="shared" si="26"/>
        <v>0</v>
      </c>
      <c r="M27" s="207">
        <f t="shared" si="26"/>
        <v>0</v>
      </c>
      <c r="N27" s="207">
        <f t="shared" si="26"/>
        <v>0</v>
      </c>
      <c r="O27" s="207">
        <f t="shared" si="26"/>
        <v>0</v>
      </c>
      <c r="P27" s="207">
        <f t="shared" si="26"/>
        <v>0</v>
      </c>
      <c r="Q27" s="207">
        <f t="shared" si="26"/>
        <v>0</v>
      </c>
      <c r="R27" s="207">
        <f t="shared" si="26"/>
        <v>0</v>
      </c>
      <c r="S27" s="207">
        <f t="shared" si="26"/>
        <v>0</v>
      </c>
      <c r="T27" s="207">
        <f t="shared" si="26"/>
        <v>0</v>
      </c>
      <c r="U27" s="207">
        <f t="shared" si="26"/>
        <v>0</v>
      </c>
      <c r="V27" s="207">
        <f t="shared" si="26"/>
        <v>0</v>
      </c>
      <c r="W27" s="207">
        <f t="shared" si="26"/>
        <v>0</v>
      </c>
      <c r="X27" s="207">
        <f t="shared" si="26"/>
        <v>0</v>
      </c>
      <c r="Y27" s="207">
        <f t="shared" si="26"/>
        <v>0</v>
      </c>
      <c r="Z27" s="207">
        <f t="shared" si="26"/>
        <v>0</v>
      </c>
      <c r="AA27" s="207">
        <f t="shared" si="26"/>
        <v>0</v>
      </c>
      <c r="AB27" s="207">
        <f t="shared" si="26"/>
        <v>0</v>
      </c>
      <c r="AC27" s="207">
        <f t="shared" si="26"/>
        <v>0</v>
      </c>
      <c r="AD27" s="207">
        <f t="shared" si="26"/>
        <v>0</v>
      </c>
      <c r="AE27" s="207">
        <f t="shared" si="26"/>
        <v>0</v>
      </c>
      <c r="AF27" s="207">
        <f t="shared" si="26"/>
        <v>93790.200000000012</v>
      </c>
      <c r="AG27" s="207">
        <f t="shared" si="26"/>
        <v>0</v>
      </c>
      <c r="AH27" s="347"/>
      <c r="AI27" s="348"/>
    </row>
    <row r="28" spans="1:35" s="21" customFormat="1" ht="42.75" hidden="1" customHeight="1" x14ac:dyDescent="0.25">
      <c r="A28" s="520"/>
      <c r="B28" s="554"/>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520"/>
      <c r="B29" s="554"/>
      <c r="C29" s="61" t="s">
        <v>22</v>
      </c>
      <c r="D29" s="62">
        <f>SUM(J29,L29,N29,P29,R29,T29,V29,X29,Z29,AB29,AD29,AF29)</f>
        <v>75032.100000000006</v>
      </c>
      <c r="E29" s="62">
        <f>J29</f>
        <v>0</v>
      </c>
      <c r="F29" s="62">
        <f>G29</f>
        <v>0</v>
      </c>
      <c r="G29" s="62">
        <f>SUM(K29,M29,O29,Q29,S29,U29,W29,Y29,AA29,AC29,AE29,AG29)</f>
        <v>0</v>
      </c>
      <c r="H29" s="62">
        <f t="shared" si="24"/>
        <v>0</v>
      </c>
      <c r="I29" s="62">
        <f t="shared" si="25"/>
        <v>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75032.100000000006</v>
      </c>
      <c r="AG29" s="63">
        <v>0</v>
      </c>
      <c r="AH29" s="60"/>
      <c r="AI29" s="23"/>
    </row>
    <row r="30" spans="1:35" s="22" customFormat="1" ht="108" customHeight="1" x14ac:dyDescent="0.25">
      <c r="A30" s="521"/>
      <c r="B30" s="555"/>
      <c r="C30" s="61" t="s">
        <v>21</v>
      </c>
      <c r="D30" s="62">
        <f>SUM(J30,L30,N30,P30,R30,T30,V30,X30,Z30,AB30,AD30,AF30)</f>
        <v>18758.099999999999</v>
      </c>
      <c r="E30" s="62">
        <f>J30</f>
        <v>0</v>
      </c>
      <c r="F30" s="62">
        <f>G30</f>
        <v>0</v>
      </c>
      <c r="G30" s="62">
        <f>SUM(K30,M30,O30,Q30,S30,U30,W30,Y30,AA30,AC30,AE30,AG30)</f>
        <v>0</v>
      </c>
      <c r="H30" s="62">
        <f t="shared" si="24"/>
        <v>0</v>
      </c>
      <c r="I30" s="62">
        <f t="shared" si="25"/>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18758.099999999999</v>
      </c>
      <c r="AG30" s="67">
        <v>0</v>
      </c>
      <c r="AH30" s="64"/>
      <c r="AI30" s="20"/>
    </row>
  </sheetData>
  <customSheetViews>
    <customSheetView guid="{133BB3F8-8DD4-4AEF-8CD6-A5FB14681329}" scale="80" hiddenRows="1" state="hidden">
      <pane xSplit="6" ySplit="7" topLeftCell="G21" activePane="bottomRight" state="frozen"/>
      <selection pane="bottomRight" activeCell="F6" sqref="F6"/>
      <pageMargins left="0.7" right="0.7" top="0.75" bottom="0.75" header="0.3" footer="0.3"/>
      <pageSetup paperSize="9" orientation="portrait" r:id="rId1"/>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3"/>
    </customSheetView>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6"/>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10"/>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30B635D9-57DB-47D5-8A0F-4B30DD769960}" scale="80" hiddenRows="1">
      <pane xSplit="6" ySplit="7" topLeftCell="T13" activePane="bottomRight" state="frozen"/>
      <selection pane="bottomRight" activeCell="W3" sqref="W3"/>
      <pageMargins left="0.7" right="0.7" top="0.75" bottom="0.75" header="0.3" footer="0.3"/>
      <pageSetup paperSize="9" orientation="portrait" r:id="rId13"/>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24"/>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25"/>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27"/>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A27:A30"/>
    <mergeCell ref="B27:B30"/>
    <mergeCell ref="A17:A20"/>
    <mergeCell ref="B17:B20"/>
    <mergeCell ref="A21:A22"/>
    <mergeCell ref="B21:B22"/>
    <mergeCell ref="B23:AG23"/>
    <mergeCell ref="A24:A25"/>
    <mergeCell ref="B24:B25"/>
    <mergeCell ref="B26:AG26"/>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cp:lastPrinted>2025-11-06T12:29:32Z</cp:lastPrinted>
  <dcterms:created xsi:type="dcterms:W3CDTF">2025-01-13T06:45:30Z</dcterms:created>
  <dcterms:modified xsi:type="dcterms:W3CDTF">2025-11-13T05:52:09Z</dcterms:modified>
</cp:coreProperties>
</file>